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96" windowWidth="15240" windowHeight="4440" firstSheet="1" activeTab="1"/>
  </bookViews>
  <sheets>
    <sheet name="(m1)_(m2)_(m3)" sheetId="1" state="hidden" r:id="rId1"/>
    <sheet name="记账凭证汇总" sheetId="2" r:id="rId2"/>
    <sheet name="记账凭证汇总打印" sheetId="3" r:id="rId3"/>
    <sheet name="资产负债表" sheetId="4" r:id="rId4"/>
    <sheet name="负债表打印" sheetId="5" r:id="rId5"/>
    <sheet name="利润表" sheetId="6" r:id="rId6"/>
    <sheet name="利润表打印" sheetId="7" r:id="rId7"/>
    <sheet name="应交增值税明细表" sheetId="8" r:id="rId8"/>
    <sheet name="制造费用" sheetId="9" r:id="rId9"/>
    <sheet name="制造费用打印" sheetId="10" r:id="rId10"/>
    <sheet name="开发成本明细表" sheetId="11" r:id="rId11"/>
    <sheet name="开发成本打印" sheetId="12" r:id="rId12"/>
    <sheet name="营业费用" sheetId="13" r:id="rId13"/>
    <sheet name="营业费用打印" sheetId="14" r:id="rId14"/>
    <sheet name="管理费用" sheetId="15" r:id="rId15"/>
    <sheet name="管理费用表" sheetId="16" r:id="rId16"/>
    <sheet name="返回不同级別会计科目" sheetId="17" r:id="rId17"/>
    <sheet name="总账科目" sheetId="18" r:id="rId18"/>
    <sheet name="货币资金对账单" sheetId="19" r:id="rId19"/>
  </sheets>
  <definedNames>
    <definedName name="_xlnm.Print_Area" localSheetId="4">'负债表打印'!$A$2:$J$38</definedName>
    <definedName name="_xlnm.Print_Area" localSheetId="18">'货币资金对账单'!$B$1:$K$24</definedName>
    <definedName name="_xlnm.Print_Area" localSheetId="2">'记账凭证汇总打印'!$A$2:$G$178</definedName>
    <definedName name="_xlnm.Print_Area" localSheetId="6">'利润表打印'!$B$3:$I$23</definedName>
  </definedNames>
  <calcPr fullCalcOnLoad="1"/>
</workbook>
</file>

<file path=xl/sharedStrings.xml><?xml version="1.0" encoding="utf-8"?>
<sst xmlns="http://schemas.openxmlformats.org/spreadsheetml/2006/main" count="2366" uniqueCount="1047">
  <si>
    <r>
      <t xml:space="preserve">      </t>
    </r>
    <r>
      <rPr>
        <sz val="10"/>
        <rFont val="宋体"/>
        <family val="0"/>
      </rPr>
      <t>制表人：</t>
    </r>
    <r>
      <rPr>
        <sz val="10"/>
        <rFont val="Times New Roman"/>
        <family val="1"/>
      </rPr>
      <t xml:space="preserve"> </t>
    </r>
  </si>
  <si>
    <t>月份</t>
  </si>
  <si>
    <r>
      <t>现</t>
    </r>
    <r>
      <rPr>
        <b/>
        <sz val="11"/>
        <color indexed="16"/>
        <rFont val="Times New Roman"/>
        <family val="1"/>
      </rPr>
      <t xml:space="preserve">                 </t>
    </r>
    <r>
      <rPr>
        <b/>
        <sz val="11"/>
        <color indexed="16"/>
        <rFont val="宋体"/>
        <family val="0"/>
      </rPr>
      <t>金</t>
    </r>
  </si>
  <si>
    <r>
      <t>银</t>
    </r>
    <r>
      <rPr>
        <b/>
        <sz val="11"/>
        <color indexed="16"/>
        <rFont val="Times New Roman"/>
        <family val="1"/>
      </rPr>
      <t xml:space="preserve">   </t>
    </r>
    <r>
      <rPr>
        <b/>
        <sz val="11"/>
        <color indexed="16"/>
        <rFont val="宋体"/>
        <family val="0"/>
      </rPr>
      <t>行</t>
    </r>
    <r>
      <rPr>
        <b/>
        <sz val="11"/>
        <color indexed="16"/>
        <rFont val="Times New Roman"/>
        <family val="1"/>
      </rPr>
      <t xml:space="preserve">   </t>
    </r>
    <r>
      <rPr>
        <b/>
        <sz val="11"/>
        <color indexed="16"/>
        <rFont val="宋体"/>
        <family val="0"/>
      </rPr>
      <t>存</t>
    </r>
    <r>
      <rPr>
        <b/>
        <sz val="11"/>
        <color indexed="16"/>
        <rFont val="Times New Roman"/>
        <family val="1"/>
      </rPr>
      <t xml:space="preserve">   </t>
    </r>
    <r>
      <rPr>
        <b/>
        <sz val="11"/>
        <color indexed="16"/>
        <rFont val="宋体"/>
        <family val="0"/>
      </rPr>
      <t>款</t>
    </r>
  </si>
  <si>
    <r>
      <t>本期</t>
    </r>
    <r>
      <rPr>
        <b/>
        <sz val="10"/>
        <color indexed="10"/>
        <rFont val="宋体"/>
        <family val="0"/>
      </rPr>
      <t>借</t>
    </r>
    <r>
      <rPr>
        <sz val="10"/>
        <color indexed="18"/>
        <rFont val="宋体"/>
        <family val="0"/>
      </rPr>
      <t>方发生额</t>
    </r>
  </si>
  <si>
    <r>
      <t>本期</t>
    </r>
    <r>
      <rPr>
        <b/>
        <sz val="10"/>
        <color indexed="10"/>
        <rFont val="宋体"/>
        <family val="0"/>
      </rPr>
      <t>贷</t>
    </r>
    <r>
      <rPr>
        <sz val="10"/>
        <color indexed="18"/>
        <rFont val="宋体"/>
        <family val="0"/>
      </rPr>
      <t>方发生额</t>
    </r>
  </si>
  <si>
    <r>
      <t>本期</t>
    </r>
    <r>
      <rPr>
        <b/>
        <sz val="10"/>
        <color indexed="10"/>
        <rFont val="宋体"/>
        <family val="0"/>
      </rPr>
      <t>借</t>
    </r>
    <r>
      <rPr>
        <sz val="10"/>
        <color indexed="18"/>
        <rFont val="宋体"/>
        <family val="0"/>
      </rPr>
      <t>方发生额</t>
    </r>
  </si>
  <si>
    <r>
      <t>本期</t>
    </r>
    <r>
      <rPr>
        <b/>
        <sz val="10"/>
        <color indexed="10"/>
        <rFont val="宋体"/>
        <family val="0"/>
      </rPr>
      <t>贷</t>
    </r>
    <r>
      <rPr>
        <sz val="10"/>
        <color indexed="18"/>
        <rFont val="宋体"/>
        <family val="0"/>
      </rPr>
      <t>方发生额</t>
    </r>
  </si>
  <si>
    <t>合计</t>
  </si>
  <si>
    <t>然後單元格格式自定義為:  上午/下午</t>
  </si>
  <si>
    <r>
      <t>單元格輸入</t>
    </r>
    <r>
      <rPr>
        <sz val="9"/>
        <color indexed="8"/>
        <rFont val="Tahoma"/>
        <family val="2"/>
      </rPr>
      <t>=now()</t>
    </r>
  </si>
  <si>
    <r>
      <t xml:space="preserve">  </t>
    </r>
    <r>
      <rPr>
        <sz val="10"/>
        <rFont val="宋体"/>
        <family val="0"/>
      </rPr>
      <t>核对人签名：</t>
    </r>
  </si>
  <si>
    <t>This term</t>
  </si>
  <si>
    <t>C</t>
  </si>
  <si>
    <t>D</t>
  </si>
  <si>
    <t>E</t>
  </si>
  <si>
    <t>F</t>
  </si>
  <si>
    <t>January-June</t>
  </si>
  <si>
    <t>July-September</t>
  </si>
  <si>
    <t>October-December</t>
  </si>
  <si>
    <t>July-December</t>
  </si>
  <si>
    <t>上 半 年 数</t>
  </si>
  <si>
    <t>本  季  数</t>
  </si>
  <si>
    <t>下 半 年 数</t>
  </si>
  <si>
    <t>低值易耗品摊销</t>
  </si>
  <si>
    <t>劳动保险费</t>
  </si>
  <si>
    <t>水电费</t>
  </si>
  <si>
    <t>修理费</t>
  </si>
  <si>
    <t>业务招待费</t>
  </si>
  <si>
    <t>折旧费</t>
  </si>
  <si>
    <t>职工教育经费</t>
  </si>
  <si>
    <t>工会经费</t>
  </si>
  <si>
    <t>聘请中介机构费</t>
  </si>
  <si>
    <t>诉讼费</t>
  </si>
  <si>
    <t>无形资产摊销</t>
  </si>
  <si>
    <t>研究与开发费</t>
  </si>
  <si>
    <t>科目编号</t>
  </si>
  <si>
    <t>科   目</t>
  </si>
  <si>
    <t>item</t>
  </si>
  <si>
    <r>
      <t>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初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</si>
  <si>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t>年末余额</t>
  </si>
  <si>
    <t>code</t>
  </si>
  <si>
    <t>the amount of the beginning</t>
  </si>
  <si>
    <r>
      <t>借</t>
    </r>
    <r>
      <rPr>
        <sz val="10"/>
        <rFont val="Times New Roman"/>
        <family val="1"/>
      </rPr>
      <t xml:space="preserve"> debit </t>
    </r>
  </si>
  <si>
    <r>
      <t>贷</t>
    </r>
    <r>
      <rPr>
        <sz val="10"/>
        <rFont val="Times New Roman"/>
        <family val="1"/>
      </rPr>
      <t xml:space="preserve"> credit</t>
    </r>
  </si>
  <si>
    <t>期末余额</t>
  </si>
  <si>
    <t>其他货币资金</t>
  </si>
  <si>
    <t>应收账款</t>
  </si>
  <si>
    <t>其他应收款</t>
  </si>
  <si>
    <t>坏账准备</t>
  </si>
  <si>
    <t>委托加工物资</t>
  </si>
  <si>
    <t>无形资产</t>
  </si>
  <si>
    <t>长期待摊费用</t>
  </si>
  <si>
    <t>其他应交款</t>
  </si>
  <si>
    <t>其他业务收入</t>
  </si>
  <si>
    <t>其他业务支出</t>
  </si>
  <si>
    <t>会 计 科 目 名 称 和 编 号</t>
  </si>
  <si>
    <r>
      <t>顺序号</t>
    </r>
    <r>
      <rPr>
        <sz val="10.5"/>
        <rFont val="Times New Roman"/>
        <family val="1"/>
      </rPr>
      <t> </t>
    </r>
  </si>
  <si>
    <t>编号 </t>
  </si>
  <si>
    <t>2 </t>
  </si>
  <si>
    <t>1002 </t>
  </si>
  <si>
    <t>合  计</t>
  </si>
  <si>
    <t>3 </t>
  </si>
  <si>
    <t>1009 </t>
  </si>
  <si>
    <r>
      <t>100902  </t>
    </r>
  </si>
  <si>
    <r>
      <t>100903  </t>
    </r>
  </si>
  <si>
    <r>
      <t>100904  </t>
    </r>
  </si>
  <si>
    <r>
      <t>100905  </t>
    </r>
  </si>
  <si>
    <r>
      <t>100906  </t>
    </r>
  </si>
  <si>
    <r>
      <t>100907  </t>
    </r>
  </si>
  <si>
    <r>
      <t>1102 </t>
    </r>
  </si>
  <si>
    <r>
      <t>110102  </t>
    </r>
  </si>
  <si>
    <r>
      <t>110103  </t>
    </r>
  </si>
  <si>
    <r>
      <t>110104  </t>
    </r>
  </si>
  <si>
    <r>
      <t>110111  </t>
    </r>
  </si>
  <si>
    <t>5 </t>
  </si>
  <si>
    <t>1102 </t>
  </si>
  <si>
    <t>6 </t>
  </si>
  <si>
    <t>1111 </t>
  </si>
  <si>
    <t>7 </t>
  </si>
  <si>
    <t>1121 </t>
  </si>
  <si>
    <t>8 </t>
  </si>
  <si>
    <t>1131 </t>
  </si>
  <si>
    <t>9 </t>
  </si>
  <si>
    <t>1133 </t>
  </si>
  <si>
    <t>10 </t>
  </si>
  <si>
    <r>
      <t>记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账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凭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证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汇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总</t>
    </r>
    <r>
      <rPr>
        <b/>
        <sz val="14"/>
        <color indexed="10"/>
        <rFont val="Times New Roman"/>
        <family val="1"/>
      </rPr>
      <t xml:space="preserve">  </t>
    </r>
    <r>
      <rPr>
        <b/>
        <sz val="14"/>
        <color indexed="10"/>
        <rFont val="宋体"/>
        <family val="0"/>
      </rPr>
      <t>表</t>
    </r>
  </si>
  <si>
    <t>1141 </t>
  </si>
  <si>
    <t>11 </t>
  </si>
  <si>
    <t>1201 </t>
  </si>
  <si>
    <t>12 </t>
  </si>
  <si>
    <t>1211 </t>
  </si>
  <si>
    <t>13 </t>
  </si>
  <si>
    <t>1231 </t>
  </si>
  <si>
    <t>14 </t>
  </si>
  <si>
    <t>1243 </t>
  </si>
  <si>
    <t>15 </t>
  </si>
  <si>
    <t>1244 </t>
  </si>
  <si>
    <t>16 </t>
  </si>
  <si>
    <t>1251 </t>
  </si>
  <si>
    <t>17 </t>
  </si>
  <si>
    <t>1261 </t>
  </si>
  <si>
    <t>18 </t>
  </si>
  <si>
    <t>1281 </t>
  </si>
  <si>
    <t>19 </t>
  </si>
  <si>
    <t>1301 </t>
  </si>
  <si>
    <t>20 </t>
  </si>
  <si>
    <r>
      <t>1401 </t>
    </r>
  </si>
  <si>
    <r>
      <t>140102  </t>
    </r>
  </si>
  <si>
    <r>
      <t>140103  </t>
    </r>
  </si>
  <si>
    <t>21 </t>
  </si>
  <si>
    <t>1402 </t>
  </si>
  <si>
    <r>
      <t>140202  </t>
    </r>
  </si>
  <si>
    <r>
      <t>140203  </t>
    </r>
  </si>
  <si>
    <t>22 </t>
  </si>
  <si>
    <t>1501 </t>
  </si>
  <si>
    <t>23 </t>
  </si>
  <si>
    <t>1502 </t>
  </si>
  <si>
    <t>24 </t>
  </si>
  <si>
    <t>1601 </t>
  </si>
  <si>
    <t>25 </t>
  </si>
  <si>
    <t>1603 </t>
  </si>
  <si>
    <r>
      <t>160302  </t>
    </r>
  </si>
  <si>
    <r>
      <t>160303  </t>
    </r>
  </si>
  <si>
    <r>
      <t>160304  </t>
    </r>
  </si>
  <si>
    <r>
      <t>160305  </t>
    </r>
  </si>
  <si>
    <t>26 </t>
  </si>
  <si>
    <t>1701 </t>
  </si>
  <si>
    <t>27 </t>
  </si>
  <si>
    <t>1801 </t>
  </si>
  <si>
    <t>28 </t>
  </si>
  <si>
    <t>1901 </t>
  </si>
  <si>
    <t>29 </t>
  </si>
  <si>
    <t>2101 </t>
  </si>
  <si>
    <t>30 </t>
  </si>
  <si>
    <t>2111 </t>
  </si>
  <si>
    <t>31 </t>
  </si>
  <si>
    <t>2121 </t>
  </si>
  <si>
    <t>32 </t>
  </si>
  <si>
    <t>2151 </t>
  </si>
  <si>
    <t>33 </t>
  </si>
  <si>
    <t>2153 </t>
  </si>
  <si>
    <t>34 </t>
  </si>
  <si>
    <t>2161 </t>
  </si>
  <si>
    <t>35 </t>
  </si>
  <si>
    <t>2171 </t>
  </si>
  <si>
    <r>
      <t>217102 </t>
    </r>
  </si>
  <si>
    <r>
      <t>21710102  </t>
    </r>
  </si>
  <si>
    <r>
      <t>21710103  </t>
    </r>
  </si>
  <si>
    <r>
      <t>21710104  </t>
    </r>
  </si>
  <si>
    <r>
      <t>21710105  </t>
    </r>
  </si>
  <si>
    <r>
      <t>21710106  </t>
    </r>
  </si>
  <si>
    <r>
      <t>21710107  </t>
    </r>
  </si>
  <si>
    <t>销项税额</t>
  </si>
  <si>
    <r>
      <t>21710108  </t>
    </r>
  </si>
  <si>
    <r>
      <t>21710109  </t>
    </r>
  </si>
  <si>
    <r>
      <t>21710110  </t>
    </r>
  </si>
  <si>
    <r>
      <t>217103 </t>
    </r>
  </si>
  <si>
    <r>
      <t>217104 </t>
    </r>
  </si>
  <si>
    <r>
      <t>217105 </t>
    </r>
  </si>
  <si>
    <r>
      <t>217106 </t>
    </r>
  </si>
  <si>
    <r>
      <t>217107 </t>
    </r>
  </si>
  <si>
    <r>
      <t>217108 </t>
    </r>
  </si>
  <si>
    <r>
      <t>217109 </t>
    </r>
  </si>
  <si>
    <r>
      <t>217110 </t>
    </r>
  </si>
  <si>
    <r>
      <t>217111 </t>
    </r>
  </si>
  <si>
    <r>
      <t>217112 </t>
    </r>
  </si>
  <si>
    <r>
      <t>217113 </t>
    </r>
  </si>
  <si>
    <t>36 </t>
  </si>
  <si>
    <t>2176 </t>
  </si>
  <si>
    <t>37 </t>
  </si>
  <si>
    <t>2181 </t>
  </si>
  <si>
    <t>38 </t>
  </si>
  <si>
    <t>2191 </t>
  </si>
  <si>
    <t>39 </t>
  </si>
  <si>
    <t>2201 </t>
  </si>
  <si>
    <r>
      <t>220102     </t>
    </r>
  </si>
  <si>
    <r>
      <t>220103     </t>
    </r>
  </si>
  <si>
    <t>40 </t>
  </si>
  <si>
    <t>2301 </t>
  </si>
  <si>
    <t>41 </t>
  </si>
  <si>
    <t>2321 </t>
  </si>
  <si>
    <t>42 </t>
  </si>
  <si>
    <t>3101 </t>
  </si>
  <si>
    <t>43 </t>
  </si>
  <si>
    <t>3111 </t>
  </si>
  <si>
    <r>
      <t>311102  </t>
    </r>
  </si>
  <si>
    <r>
      <t>311103  </t>
    </r>
  </si>
  <si>
    <r>
      <t>311107  </t>
    </r>
  </si>
  <si>
    <r>
      <t>311108  </t>
    </r>
  </si>
  <si>
    <t>44 </t>
  </si>
  <si>
    <t>3121 </t>
  </si>
  <si>
    <r>
      <t>312102  </t>
    </r>
  </si>
  <si>
    <r>
      <t>312103  </t>
    </r>
  </si>
  <si>
    <r>
      <t>312104  </t>
    </r>
  </si>
  <si>
    <t>45 </t>
  </si>
  <si>
    <t>3131 </t>
  </si>
  <si>
    <t>46 </t>
  </si>
  <si>
    <t>3141 </t>
  </si>
  <si>
    <r>
      <t>314102  </t>
    </r>
  </si>
  <si>
    <r>
      <t>314103  </t>
    </r>
  </si>
  <si>
    <r>
      <t>314104  </t>
    </r>
  </si>
  <si>
    <r>
      <t>314110  </t>
    </r>
  </si>
  <si>
    <r>
      <t>314111  </t>
    </r>
  </si>
  <si>
    <r>
      <t>314112  </t>
    </r>
  </si>
  <si>
    <r>
      <t>314116  </t>
    </r>
  </si>
  <si>
    <t>47 </t>
  </si>
  <si>
    <r>
      <t>410102  </t>
    </r>
  </si>
  <si>
    <r>
      <t>410103  </t>
    </r>
  </si>
  <si>
    <t>48 </t>
  </si>
  <si>
    <t>4105 </t>
  </si>
  <si>
    <t>49 </t>
  </si>
  <si>
    <t>5101 </t>
  </si>
  <si>
    <t>50 </t>
  </si>
  <si>
    <t>5102 </t>
  </si>
  <si>
    <t>51 </t>
  </si>
  <si>
    <t>5201 </t>
  </si>
  <si>
    <t>52 </t>
  </si>
  <si>
    <t>5301 </t>
  </si>
  <si>
    <t>53 </t>
  </si>
  <si>
    <t>5401 </t>
  </si>
  <si>
    <t>54 </t>
  </si>
  <si>
    <t>5402 </t>
  </si>
  <si>
    <t>55 </t>
  </si>
  <si>
    <t>5405 </t>
  </si>
  <si>
    <t>56 </t>
  </si>
  <si>
    <t>5501 </t>
  </si>
  <si>
    <t>57 </t>
  </si>
  <si>
    <t>5502 </t>
  </si>
  <si>
    <t>58 </t>
  </si>
  <si>
    <t>5503 </t>
  </si>
  <si>
    <t>59 </t>
  </si>
  <si>
    <t>5601 </t>
  </si>
  <si>
    <t>60 </t>
  </si>
  <si>
    <t>5701 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</si>
  <si>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</si>
  <si>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550101 </t>
  </si>
  <si>
    <t>550102 </t>
  </si>
  <si>
    <t>550103 </t>
  </si>
  <si>
    <t>550104 </t>
  </si>
  <si>
    <t>550105 </t>
  </si>
  <si>
    <t>550106 </t>
  </si>
  <si>
    <t>550107 </t>
  </si>
  <si>
    <t>550108 </t>
  </si>
  <si>
    <t>550109 </t>
  </si>
  <si>
    <t>550110 </t>
  </si>
  <si>
    <t>550201 </t>
  </si>
  <si>
    <t>550202 </t>
  </si>
  <si>
    <t>550203 </t>
  </si>
  <si>
    <t>550204 </t>
  </si>
  <si>
    <t>550205 </t>
  </si>
  <si>
    <t>550206 </t>
  </si>
  <si>
    <t>550207 </t>
  </si>
  <si>
    <t>550208 </t>
  </si>
  <si>
    <t>550209 </t>
  </si>
  <si>
    <t>550210 </t>
  </si>
  <si>
    <t>550211 </t>
  </si>
  <si>
    <t>550212 </t>
  </si>
  <si>
    <t>550213 </t>
  </si>
  <si>
    <t>550214 </t>
  </si>
  <si>
    <t>550215 </t>
  </si>
  <si>
    <t>550216 </t>
  </si>
  <si>
    <t>550217 </t>
  </si>
  <si>
    <t>550218 </t>
  </si>
  <si>
    <t>550219 </t>
  </si>
  <si>
    <t>550220 </t>
  </si>
  <si>
    <t>550221 </t>
  </si>
  <si>
    <t>550222 </t>
  </si>
  <si>
    <t>550223 </t>
  </si>
  <si>
    <t>550224 </t>
  </si>
  <si>
    <t>550225 </t>
  </si>
  <si>
    <t>550226 </t>
  </si>
  <si>
    <t>550227 </t>
  </si>
  <si>
    <t>550228 </t>
  </si>
  <si>
    <t>550229 </t>
  </si>
  <si>
    <t>550301 </t>
  </si>
  <si>
    <t>550302 </t>
  </si>
  <si>
    <t>410501 </t>
  </si>
  <si>
    <t>410502 </t>
  </si>
  <si>
    <t>410503 </t>
  </si>
  <si>
    <t>410504 </t>
  </si>
  <si>
    <t>410505 </t>
  </si>
  <si>
    <t>410506 </t>
  </si>
  <si>
    <t>410507 </t>
  </si>
  <si>
    <t>410508 </t>
  </si>
  <si>
    <t>410509 </t>
  </si>
  <si>
    <t>410510 </t>
  </si>
  <si>
    <t>August</t>
  </si>
  <si>
    <t>September</t>
  </si>
  <si>
    <t>July-September</t>
  </si>
  <si>
    <t>October-December</t>
  </si>
  <si>
    <t>July-December</t>
  </si>
  <si>
    <t>October</t>
  </si>
  <si>
    <t>November</t>
  </si>
  <si>
    <t>December</t>
  </si>
  <si>
    <t>item</t>
  </si>
  <si>
    <t>line</t>
  </si>
  <si>
    <r>
      <t>本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期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</si>
  <si>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本  季  数</t>
  </si>
  <si>
    <r>
      <t>上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半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</si>
  <si>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r>
      <t>下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半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</si>
  <si>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t>This term</t>
  </si>
  <si>
    <r>
      <t xml:space="preserve"> 一、主营业务收入</t>
    </r>
    <r>
      <rPr>
        <sz val="10.5"/>
        <rFont val="Times New Roman"/>
        <family val="1"/>
      </rPr>
      <t> </t>
    </r>
  </si>
  <si>
    <r>
      <t xml:space="preserve">        </t>
    </r>
    <r>
      <rPr>
        <sz val="10.5"/>
        <rFont val="宋体"/>
        <family val="0"/>
      </rPr>
      <t>减：主营业务成本</t>
    </r>
    <r>
      <rPr>
        <sz val="10.5"/>
        <rFont val="Times New Roman"/>
        <family val="1"/>
      </rPr>
      <t> </t>
    </r>
  </si>
  <si>
    <r>
      <t xml:space="preserve">        </t>
    </r>
    <r>
      <rPr>
        <sz val="10.5"/>
        <rFont val="宋体"/>
        <family val="0"/>
      </rPr>
      <t>主营业务税金及附加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</si>
  <si>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二、主营业务利润（亏损以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</si>
  <si>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加：其他业务利润（亏损以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</si>
  <si>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减：营业费用</t>
    </r>
    <r>
      <rPr>
        <sz val="10.5"/>
        <rFont val="Times New Roman"/>
        <family val="1"/>
      </rPr>
      <t> </t>
    </r>
  </si>
  <si>
    <r>
      <t xml:space="preserve">               </t>
    </r>
    <r>
      <rPr>
        <sz val="10.5"/>
        <rFont val="宋体"/>
        <family val="0"/>
      </rPr>
      <t>管理费用</t>
    </r>
    <r>
      <rPr>
        <sz val="10.5"/>
        <rFont val="Times New Roman"/>
        <family val="1"/>
      </rPr>
      <t> </t>
    </r>
  </si>
  <si>
    <r>
      <t xml:space="preserve">               </t>
    </r>
    <r>
      <rPr>
        <sz val="10.5"/>
        <rFont val="宋体"/>
        <family val="0"/>
      </rPr>
      <t>财务费用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</si>
  <si>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三、营业利润（亏损以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</si>
  <si>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加：投资收益（损失以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</si>
  <si>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              </t>
    </r>
    <r>
      <rPr>
        <sz val="10.5"/>
        <rFont val="宋体"/>
        <family val="0"/>
      </rPr>
      <t>营业外收入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</si>
  <si>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减：营业外支出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</si>
  <si>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四、利润总额（亏损以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</si>
  <si>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减：所得税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</si>
  <si>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五、净利润（净亏损以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</si>
  <si>
    <t>line</t>
  </si>
  <si>
    <r>
      <t xml:space="preserve"> 一、主营业务收入</t>
    </r>
    <r>
      <rPr>
        <sz val="10.5"/>
        <rFont val="Times New Roman"/>
        <family val="1"/>
      </rPr>
      <t> </t>
    </r>
  </si>
  <si>
    <r>
      <t xml:space="preserve">        </t>
    </r>
    <r>
      <rPr>
        <sz val="10.5"/>
        <rFont val="宋体"/>
        <family val="0"/>
      </rPr>
      <t>减：主营业务成本</t>
    </r>
    <r>
      <rPr>
        <sz val="10.5"/>
        <rFont val="Times New Roman"/>
        <family val="1"/>
      </rPr>
      <t> </t>
    </r>
  </si>
  <si>
    <r>
      <t xml:space="preserve">        </t>
    </r>
    <r>
      <rPr>
        <sz val="10.5"/>
        <rFont val="宋体"/>
        <family val="0"/>
      </rPr>
      <t>主营业务税金及附加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</si>
  <si>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二、主营业务利润（亏损以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</si>
  <si>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加：其他业务利润（亏损以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</si>
  <si>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减：营业费用</t>
    </r>
    <r>
      <rPr>
        <sz val="10.5"/>
        <rFont val="Times New Roman"/>
        <family val="1"/>
      </rPr>
      <t> </t>
    </r>
  </si>
  <si>
    <r>
      <t xml:space="preserve">               </t>
    </r>
    <r>
      <rPr>
        <sz val="10.5"/>
        <rFont val="宋体"/>
        <family val="0"/>
      </rPr>
      <t>管理费用</t>
    </r>
    <r>
      <rPr>
        <sz val="10.5"/>
        <rFont val="Times New Roman"/>
        <family val="1"/>
      </rPr>
      <t> </t>
    </r>
  </si>
  <si>
    <r>
      <t xml:space="preserve">               </t>
    </r>
    <r>
      <rPr>
        <sz val="10.5"/>
        <rFont val="宋体"/>
        <family val="0"/>
      </rPr>
      <t>财务费用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</si>
  <si>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三、营业利润（亏损以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</si>
  <si>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加：投资收益（损失以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</si>
  <si>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>会小企</t>
    </r>
    <r>
      <rPr>
        <sz val="10.5"/>
        <rFont val="Times New Roman"/>
        <family val="1"/>
      </rPr>
      <t>02</t>
    </r>
    <r>
      <rPr>
        <sz val="10.5"/>
        <rFont val="宋体"/>
        <family val="0"/>
      </rPr>
      <t>表</t>
    </r>
  </si>
  <si>
    <r>
      <t> </t>
    </r>
    <r>
      <rPr>
        <sz val="10.5"/>
        <rFont val="宋体"/>
        <family val="0"/>
      </rPr>
      <t>单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位：元</t>
    </r>
  </si>
  <si>
    <t>项        目</t>
  </si>
  <si>
    <t>本  月  数</t>
  </si>
  <si>
    <t>本 年 累 计 数</t>
  </si>
  <si>
    <r>
      <t xml:space="preserve"> 一、主营业务收入</t>
    </r>
    <r>
      <rPr>
        <sz val="10.5"/>
        <rFont val="Times New Roman"/>
        <family val="1"/>
      </rPr>
      <t> </t>
    </r>
  </si>
  <si>
    <r>
      <t>合</t>
    </r>
    <r>
      <rPr>
        <sz val="10.5"/>
        <rFont val="Times New Roman"/>
        <family val="1"/>
      </rPr>
      <t xml:space="preserve">        </t>
    </r>
    <r>
      <rPr>
        <sz val="10.5"/>
        <rFont val="宋体"/>
        <family val="0"/>
      </rPr>
      <t>计</t>
    </r>
  </si>
  <si>
    <r>
      <t>上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累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</si>
  <si>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>上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累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</si>
  <si>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t>资 产 负 债 表</t>
  </si>
  <si>
    <r>
      <t>2005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3</t>
    </r>
    <r>
      <rPr>
        <sz val="10"/>
        <color indexed="12"/>
        <rFont val="宋体"/>
        <family val="0"/>
      </rPr>
      <t>月</t>
    </r>
  </si>
  <si>
    <r>
      <t>2005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</si>
  <si>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r>
      <t>2005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</si>
  <si>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t>2005年10月至12月</t>
  </si>
  <si>
    <t>2005年7月至12月</t>
  </si>
  <si>
    <t>2005年7月至9月</t>
  </si>
  <si>
    <r>
      <t>2005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10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12</t>
    </r>
    <r>
      <rPr>
        <sz val="10"/>
        <color indexed="12"/>
        <rFont val="宋体"/>
        <family val="0"/>
      </rPr>
      <t>月</t>
    </r>
  </si>
  <si>
    <t>土地征用费</t>
  </si>
  <si>
    <t>拆迁补偿费</t>
  </si>
  <si>
    <t>前期工程费</t>
  </si>
  <si>
    <t>基建设施费</t>
  </si>
  <si>
    <t>建筑安装工程费</t>
  </si>
  <si>
    <t>配套设施费</t>
  </si>
  <si>
    <t>开发间接费</t>
  </si>
  <si>
    <t>制造(开发间接)费用</t>
  </si>
  <si>
    <t>生产(开发)成本</t>
  </si>
  <si>
    <t>改装修复费</t>
  </si>
  <si>
    <t>产品看护费</t>
  </si>
  <si>
    <t>水电费</t>
  </si>
  <si>
    <t>采暖费</t>
  </si>
  <si>
    <t>福利费</t>
  </si>
  <si>
    <t>业务费</t>
  </si>
  <si>
    <t>展览宣传费</t>
  </si>
  <si>
    <t>电话费</t>
  </si>
  <si>
    <t>差旅费</t>
  </si>
  <si>
    <t>车辆使用费</t>
  </si>
  <si>
    <t>广告费</t>
  </si>
  <si>
    <t>其他</t>
  </si>
  <si>
    <t>550303 </t>
  </si>
  <si>
    <r>
      <t>其他应交款</t>
    </r>
    <r>
      <rPr>
        <sz val="10"/>
        <rFont val="Times New Roman"/>
        <family val="1"/>
      </rPr>
      <t xml:space="preserve">  </t>
    </r>
  </si>
  <si>
    <t>550230 </t>
  </si>
  <si>
    <t xml:space="preserve">其他应交款  </t>
  </si>
  <si>
    <t>生产(开发)成本</t>
  </si>
  <si>
    <t>土地征用费</t>
  </si>
  <si>
    <t>拆迁补偿费</t>
  </si>
  <si>
    <t>前期工程费</t>
  </si>
  <si>
    <t>基建设施费</t>
  </si>
  <si>
    <t>建筑安装工程费</t>
  </si>
  <si>
    <t>配套设施费</t>
  </si>
  <si>
    <t>开发间接费</t>
  </si>
  <si>
    <t>制造(开发间接)费用</t>
  </si>
  <si>
    <t>改装修复费</t>
  </si>
  <si>
    <t>产品看护费</t>
  </si>
  <si>
    <t>采暖费</t>
  </si>
  <si>
    <t>展览宣传费</t>
  </si>
  <si>
    <t>业务费</t>
  </si>
  <si>
    <t>电话费</t>
  </si>
  <si>
    <t>车辆使用费</t>
  </si>
  <si>
    <t>停工损失</t>
  </si>
  <si>
    <r>
      <t>上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累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计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</si>
  <si>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t>福利费</t>
  </si>
  <si>
    <t>开发成本明细表</t>
  </si>
  <si>
    <t>开 发 成 本 明 细 表</t>
  </si>
  <si>
    <t>劳 动 保 险 费</t>
  </si>
  <si>
    <t>工  会  经  费</t>
  </si>
  <si>
    <t>福    利    费</t>
  </si>
  <si>
    <t>工          资</t>
  </si>
  <si>
    <t>待 业 保 险 费</t>
  </si>
  <si>
    <t>办    公    费</t>
  </si>
  <si>
    <t>差    旅    费</t>
  </si>
  <si>
    <t>电    话    费</t>
  </si>
  <si>
    <t>车 辆 使 用 费</t>
  </si>
  <si>
    <t>折    旧    费</t>
  </si>
  <si>
    <t>修    理    费</t>
  </si>
  <si>
    <t>业 务 招 待 费</t>
  </si>
  <si>
    <t>房    产    税</t>
  </si>
  <si>
    <t>车 辆 使 用 税</t>
  </si>
  <si>
    <t>土 地 使 用 税</t>
  </si>
  <si>
    <t>印    花    税</t>
  </si>
  <si>
    <t>广    告    费</t>
  </si>
  <si>
    <t>技 术 转 让 费</t>
  </si>
  <si>
    <t>无形资产 摊 销</t>
  </si>
  <si>
    <t>诉    讼    费</t>
  </si>
  <si>
    <t>研究 与 开发费</t>
  </si>
  <si>
    <t>坏  账  准  备</t>
  </si>
  <si>
    <t>水    电    费</t>
  </si>
  <si>
    <t>其          他</t>
  </si>
  <si>
    <t>职工 教育 经费</t>
  </si>
  <si>
    <t>单 位 ：元至角分</t>
  </si>
  <si>
    <t>期 末 余 额</t>
  </si>
  <si>
    <t>期 初 余 额</t>
  </si>
  <si>
    <t>货  币  资  金  对  账  单</t>
  </si>
  <si>
    <t>今天是：</t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</si>
  <si>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3</t>
    </r>
    <r>
      <rPr>
        <sz val="10"/>
        <color indexed="12"/>
        <rFont val="宋体"/>
        <family val="0"/>
      </rPr>
      <t>月</t>
    </r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</si>
  <si>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</si>
  <si>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1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</si>
  <si>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7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9</t>
    </r>
    <r>
      <rPr>
        <sz val="10"/>
        <color indexed="12"/>
        <rFont val="宋体"/>
        <family val="0"/>
      </rPr>
      <t>月</t>
    </r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</si>
  <si>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7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12</t>
    </r>
    <r>
      <rPr>
        <sz val="10"/>
        <color indexed="12"/>
        <rFont val="宋体"/>
        <family val="0"/>
      </rPr>
      <t>月</t>
    </r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</si>
  <si>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5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</si>
  <si>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t>2006年7月至9月</t>
  </si>
  <si>
    <t>2006年10月至12月</t>
  </si>
  <si>
    <t>2006年7月至12月</t>
  </si>
  <si>
    <r>
      <t>2006</t>
    </r>
    <r>
      <rPr>
        <sz val="10"/>
        <color indexed="12"/>
        <rFont val="宋体"/>
        <family val="0"/>
      </rPr>
      <t>年</t>
    </r>
    <r>
      <rPr>
        <sz val="10"/>
        <color indexed="12"/>
        <rFont val="Times New Roman"/>
        <family val="1"/>
      </rPr>
      <t>4</t>
    </r>
    <r>
      <rPr>
        <sz val="10"/>
        <color indexed="12"/>
        <rFont val="宋体"/>
        <family val="0"/>
      </rPr>
      <t>月至</t>
    </r>
    <r>
      <rPr>
        <sz val="10"/>
        <color indexed="12"/>
        <rFont val="Times New Roman"/>
        <family val="1"/>
      </rPr>
      <t>6</t>
    </r>
    <r>
      <rPr>
        <sz val="10"/>
        <color indexed="12"/>
        <rFont val="宋体"/>
        <family val="0"/>
      </rPr>
      <t>月</t>
    </r>
  </si>
  <si>
    <t>2005年7月至9月</t>
  </si>
  <si>
    <t>本 年 累 计 数</t>
  </si>
  <si>
    <t>本 年 累 计 数</t>
  </si>
  <si>
    <r>
      <t>上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累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</si>
  <si>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t>上 年 累 计 数</t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</si>
  <si>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六年一月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January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</si>
  <si>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六年二月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February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</si>
  <si>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六年三月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March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</si>
  <si>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六年四月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April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</si>
  <si>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六年五月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May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</si>
  <si>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六年六月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June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</si>
  <si>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六年七月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July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</si>
  <si>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六年八月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August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</si>
  <si>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六年九月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September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</si>
  <si>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六年十月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October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</si>
  <si>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六年十一月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November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</si>
  <si>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六年十二月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December</t>
    </r>
  </si>
  <si>
    <r>
      <t>二</t>
    </r>
    <r>
      <rPr>
        <sz val="10"/>
        <rFont val="Times New Roman"/>
        <family val="1"/>
      </rPr>
      <t>00</t>
    </r>
    <r>
      <rPr>
        <sz val="10"/>
        <rFont val="宋体"/>
        <family val="0"/>
      </rPr>
      <t>六年</t>
    </r>
    <r>
      <rPr>
        <sz val="10"/>
        <rFont val="Times New Roman"/>
        <family val="1"/>
      </rPr>
      <t>1--12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December</t>
    </r>
  </si>
  <si>
    <t>环境保护费</t>
  </si>
  <si>
    <t>环 境 保 护 费</t>
  </si>
  <si>
    <t>环境保护费</t>
  </si>
  <si>
    <t>环境保护费</t>
  </si>
  <si>
    <t>合         计</t>
  </si>
  <si>
    <t>会议费</t>
  </si>
  <si>
    <t>会议费</t>
  </si>
  <si>
    <t>会    议    费</t>
  </si>
  <si>
    <t>会议费</t>
  </si>
  <si>
    <r>
      <t>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次</t>
    </r>
  </si>
  <si>
    <r>
      <t>上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累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计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</si>
  <si>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r>
      <t xml:space="preserve">        </t>
    </r>
    <r>
      <rPr>
        <sz val="10.5"/>
        <rFont val="宋体"/>
        <family val="0"/>
      </rPr>
      <t>减：主营业务成本</t>
    </r>
    <r>
      <rPr>
        <sz val="10.5"/>
        <rFont val="Times New Roman"/>
        <family val="1"/>
      </rPr>
      <t> </t>
    </r>
  </si>
  <si>
    <r>
      <t xml:space="preserve">        </t>
    </r>
    <r>
      <rPr>
        <sz val="10.5"/>
        <rFont val="宋体"/>
        <family val="0"/>
      </rPr>
      <t>主营业务税金及附加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</si>
  <si>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二、主营业务利润（亏损以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</si>
  <si>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加：其他业务利润（亏损以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</si>
  <si>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</t>
    </r>
    <r>
      <rPr>
        <sz val="10.5"/>
        <rFont val="宋体"/>
        <family val="0"/>
      </rPr>
      <t>减：营业费用</t>
    </r>
    <r>
      <rPr>
        <sz val="10.5"/>
        <rFont val="Times New Roman"/>
        <family val="1"/>
      </rPr>
      <t> </t>
    </r>
  </si>
  <si>
    <r>
      <t xml:space="preserve">               </t>
    </r>
    <r>
      <rPr>
        <sz val="10.5"/>
        <rFont val="宋体"/>
        <family val="0"/>
      </rPr>
      <t>管理费用</t>
    </r>
    <r>
      <rPr>
        <sz val="10.5"/>
        <rFont val="Times New Roman"/>
        <family val="1"/>
      </rPr>
      <t> </t>
    </r>
  </si>
  <si>
    <r>
      <t xml:space="preserve">               </t>
    </r>
    <r>
      <rPr>
        <sz val="10.5"/>
        <rFont val="宋体"/>
        <family val="0"/>
      </rPr>
      <t>财务费用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</si>
  <si>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三、营业利润（亏损以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</si>
  <si>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加：投资收益（损失以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</si>
  <si>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              </t>
    </r>
    <r>
      <rPr>
        <sz val="10.5"/>
        <rFont val="宋体"/>
        <family val="0"/>
      </rPr>
      <t>营业外收入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</si>
  <si>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减：营业外支出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</si>
  <si>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四、利润总额（亏损以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  <r>
      <rPr>
        <sz val="10.5"/>
        <rFont val="Times New Roman"/>
        <family val="1"/>
      </rPr>
      <t> </t>
    </r>
  </si>
  <si>
    <r>
      <t xml:space="preserve">         </t>
    </r>
    <r>
      <rPr>
        <sz val="10.5"/>
        <rFont val="宋体"/>
        <family val="0"/>
      </rPr>
      <t>减：所得税</t>
    </r>
    <r>
      <rPr>
        <sz val="10.5"/>
        <rFont val="Times New Roman"/>
        <family val="1"/>
      </rPr>
      <t> </t>
    </r>
  </si>
  <si>
    <r>
      <t xml:space="preserve"> </t>
    </r>
    <r>
      <rPr>
        <sz val="10.5"/>
        <rFont val="宋体"/>
        <family val="0"/>
      </rPr>
      <t>五、净利润（净亏损以</t>
    </r>
    <r>
      <rPr>
        <sz val="10.5"/>
        <rFont val="Times New Roman"/>
        <family val="1"/>
      </rPr>
      <t>“-”</t>
    </r>
    <r>
      <rPr>
        <sz val="10.5"/>
        <rFont val="宋体"/>
        <family val="0"/>
      </rPr>
      <t>号填列）</t>
    </r>
  </si>
  <si>
    <t xml:space="preserve">  补充资料：</t>
  </si>
  <si>
    <t xml:space="preserve">        当期分配给投资者的利润：</t>
  </si>
  <si>
    <t>项        目</t>
  </si>
  <si>
    <t>应 交 增 值 税 明 细 表</t>
  </si>
  <si>
    <r>
      <t>会小企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表附表</t>
    </r>
    <r>
      <rPr>
        <sz val="10"/>
        <rFont val="Times New Roman"/>
        <family val="1"/>
      </rPr>
      <t>1</t>
    </r>
  </si>
  <si>
    <r>
      <t>   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      </t>
    </r>
    <r>
      <rPr>
        <sz val="10.5"/>
        <rFont val="宋体"/>
        <family val="0"/>
      </rPr>
      <t>月</t>
    </r>
  </si>
  <si>
    <r>
      <t> 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位</t>
    </r>
    <r>
      <rPr>
        <sz val="10"/>
        <rFont val="宋体"/>
        <family val="0"/>
      </rPr>
      <t>：元至角分</t>
    </r>
  </si>
  <si>
    <t>本  月  数</t>
  </si>
  <si>
    <t>本 年 累 计 数</t>
  </si>
  <si>
    <r>
      <t xml:space="preserve">  一、应交增值税：</t>
    </r>
    <r>
      <rPr>
        <sz val="10"/>
        <rFont val="Times New Roman"/>
        <family val="1"/>
      </rPr>
      <t>  </t>
    </r>
  </si>
  <si>
    <r>
      <t xml:space="preserve">          1.</t>
    </r>
    <r>
      <rPr>
        <sz val="10"/>
        <rFont val="宋体"/>
        <family val="0"/>
      </rPr>
      <t>年初未抵扣数（以</t>
    </r>
    <r>
      <rPr>
        <sz val="10"/>
        <rFont val="Times New Roman"/>
        <family val="1"/>
      </rPr>
      <t>“-”</t>
    </r>
    <r>
      <rPr>
        <sz val="10"/>
        <rFont val="宋体"/>
        <family val="0"/>
      </rPr>
      <t>号填列）</t>
    </r>
    <r>
      <rPr>
        <sz val="10"/>
        <rFont val="Times New Roman"/>
        <family val="1"/>
      </rPr>
      <t> </t>
    </r>
  </si>
  <si>
    <t>1 X </t>
  </si>
  <si>
    <r>
      <t xml:space="preserve">          2.</t>
    </r>
    <r>
      <rPr>
        <sz val="10"/>
        <rFont val="宋体"/>
        <family val="0"/>
      </rPr>
      <t>销项税额</t>
    </r>
    <r>
      <rPr>
        <sz val="10"/>
        <rFont val="Times New Roman"/>
        <family val="1"/>
      </rPr>
      <t> </t>
    </r>
  </si>
  <si>
    <r>
      <t xml:space="preserve">            </t>
    </r>
    <r>
      <rPr>
        <sz val="10"/>
        <rFont val="宋体"/>
        <family val="0"/>
      </rPr>
      <t>出口退税</t>
    </r>
    <r>
      <rPr>
        <sz val="10"/>
        <rFont val="Times New Roman"/>
        <family val="1"/>
      </rPr>
      <t>   </t>
    </r>
  </si>
  <si>
    <r>
      <t xml:space="preserve">            </t>
    </r>
    <r>
      <rPr>
        <sz val="10"/>
        <rFont val="宋体"/>
        <family val="0"/>
      </rPr>
      <t>进项税额转出</t>
    </r>
    <r>
      <rPr>
        <sz val="10"/>
        <rFont val="Times New Roman"/>
        <family val="1"/>
      </rPr>
      <t>  </t>
    </r>
  </si>
  <si>
    <r>
      <t xml:space="preserve">            </t>
    </r>
    <r>
      <rPr>
        <sz val="10"/>
        <rFont val="宋体"/>
        <family val="0"/>
      </rPr>
      <t>转出多交增值税</t>
    </r>
    <r>
      <rPr>
        <sz val="10"/>
        <rFont val="Times New Roman"/>
        <family val="1"/>
      </rPr>
      <t>  </t>
    </r>
  </si>
  <si>
    <r>
      <t xml:space="preserve">          3.</t>
    </r>
    <r>
      <rPr>
        <sz val="10"/>
        <rFont val="宋体"/>
        <family val="0"/>
      </rPr>
      <t>进项税额</t>
    </r>
    <r>
      <rPr>
        <sz val="10"/>
        <rFont val="Times New Roman"/>
        <family val="1"/>
      </rPr>
      <t> </t>
    </r>
  </si>
  <si>
    <r>
      <t xml:space="preserve">             </t>
    </r>
    <r>
      <rPr>
        <sz val="10"/>
        <rFont val="宋体"/>
        <family val="0"/>
      </rPr>
      <t>已交税金</t>
    </r>
  </si>
  <si>
    <r>
      <t xml:space="preserve">             </t>
    </r>
    <r>
      <rPr>
        <sz val="10"/>
        <rFont val="宋体"/>
        <family val="0"/>
      </rPr>
      <t>减免税款</t>
    </r>
    <r>
      <rPr>
        <sz val="10"/>
        <rFont val="Times New Roman"/>
        <family val="1"/>
      </rPr>
      <t> </t>
    </r>
  </si>
  <si>
    <r>
      <t xml:space="preserve">             </t>
    </r>
    <r>
      <rPr>
        <sz val="10"/>
        <rFont val="宋体"/>
        <family val="0"/>
      </rPr>
      <t>出口抵减内销产品应纳税额</t>
    </r>
    <r>
      <rPr>
        <sz val="10"/>
        <rFont val="Times New Roman"/>
        <family val="1"/>
      </rPr>
      <t> </t>
    </r>
  </si>
  <si>
    <r>
      <t xml:space="preserve">             </t>
    </r>
    <r>
      <rPr>
        <sz val="10"/>
        <rFont val="宋体"/>
        <family val="0"/>
      </rPr>
      <t>转出未交增值税</t>
    </r>
    <r>
      <rPr>
        <sz val="10"/>
        <rFont val="Times New Roman"/>
        <family val="1"/>
      </rPr>
      <t> </t>
    </r>
  </si>
  <si>
    <r>
      <t xml:space="preserve">           4.</t>
    </r>
    <r>
      <rPr>
        <sz val="10"/>
        <rFont val="宋体"/>
        <family val="0"/>
      </rPr>
      <t>期末未抵扣数（以</t>
    </r>
    <r>
      <rPr>
        <sz val="10"/>
        <rFont val="Times New Roman"/>
        <family val="1"/>
      </rPr>
      <t>“-”</t>
    </r>
    <r>
      <rPr>
        <sz val="10"/>
        <rFont val="宋体"/>
        <family val="0"/>
      </rPr>
      <t>号填列）</t>
    </r>
    <r>
      <rPr>
        <sz val="10"/>
        <rFont val="Times New Roman"/>
        <family val="1"/>
      </rPr>
      <t> </t>
    </r>
  </si>
  <si>
    <t>15 X </t>
  </si>
  <si>
    <r>
      <t xml:space="preserve">  二、未交增值税</t>
    </r>
    <r>
      <rPr>
        <sz val="10"/>
        <rFont val="Times New Roman"/>
        <family val="1"/>
      </rPr>
      <t>   </t>
    </r>
  </si>
  <si>
    <r>
      <t xml:space="preserve">           1.</t>
    </r>
    <r>
      <rPr>
        <sz val="10"/>
        <rFont val="宋体"/>
        <family val="0"/>
      </rPr>
      <t>年初未交数（多交数以</t>
    </r>
    <r>
      <rPr>
        <sz val="10"/>
        <rFont val="Times New Roman"/>
        <family val="1"/>
      </rPr>
      <t>“-”</t>
    </r>
    <r>
      <rPr>
        <sz val="10"/>
        <rFont val="宋体"/>
        <family val="0"/>
      </rPr>
      <t>号填列）</t>
    </r>
  </si>
  <si>
    <t> 16 X </t>
  </si>
  <si>
    <r>
      <t xml:space="preserve">           2.</t>
    </r>
    <r>
      <rPr>
        <sz val="10"/>
        <rFont val="宋体"/>
        <family val="0"/>
      </rPr>
      <t>本期转入数（多交数以</t>
    </r>
    <r>
      <rPr>
        <sz val="10"/>
        <rFont val="Times New Roman"/>
        <family val="1"/>
      </rPr>
      <t>“-”</t>
    </r>
    <r>
      <rPr>
        <sz val="10"/>
        <rFont val="宋体"/>
        <family val="0"/>
      </rPr>
      <t>号填列）</t>
    </r>
    <r>
      <rPr>
        <sz val="10"/>
        <rFont val="Times New Roman"/>
        <family val="1"/>
      </rPr>
      <t> </t>
    </r>
  </si>
  <si>
    <r>
      <t xml:space="preserve">           3.</t>
    </r>
    <r>
      <rPr>
        <sz val="10"/>
        <rFont val="宋体"/>
        <family val="0"/>
      </rPr>
      <t>本期已交数</t>
    </r>
  </si>
  <si>
    <r>
      <t xml:space="preserve">           4.</t>
    </r>
    <r>
      <rPr>
        <sz val="10"/>
        <rFont val="宋体"/>
        <family val="0"/>
      </rPr>
      <t>期末未交数（多交数以</t>
    </r>
    <r>
      <rPr>
        <sz val="10"/>
        <rFont val="Times New Roman"/>
        <family val="1"/>
      </rPr>
      <t>“-”</t>
    </r>
    <r>
      <rPr>
        <sz val="10"/>
        <rFont val="宋体"/>
        <family val="0"/>
      </rPr>
      <t>号填列）</t>
    </r>
  </si>
  <si>
    <t> 20 X </t>
  </si>
  <si>
    <r>
      <t>项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目</t>
    </r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</si>
  <si>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数</t>
    </r>
  </si>
  <si>
    <r>
      <t>本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</si>
  <si>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r>
      <t>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计</t>
    </r>
  </si>
  <si>
    <r>
      <t xml:space="preserve">                     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位:元</t>
    </r>
  </si>
  <si>
    <r>
      <t>项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目</t>
    </r>
  </si>
  <si>
    <r>
      <t>本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数</t>
    </r>
  </si>
  <si>
    <r>
      <t>本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</si>
  <si>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r>
      <t>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计</t>
    </r>
  </si>
  <si>
    <t>广告费</t>
  </si>
  <si>
    <t xml:space="preserve"> </t>
  </si>
  <si>
    <r>
      <t xml:space="preserve">                     </t>
    </r>
    <r>
      <rPr>
        <sz val="10"/>
        <rFont val="宋体"/>
        <family val="0"/>
      </rPr>
      <t>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位:元</t>
    </r>
  </si>
  <si>
    <r>
      <t>项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目</t>
    </r>
  </si>
  <si>
    <r>
      <t>本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数</t>
    </r>
  </si>
  <si>
    <r>
      <t>本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</si>
  <si>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r>
      <t>去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累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计</t>
    </r>
  </si>
  <si>
    <t>福利费</t>
  </si>
  <si>
    <t>机物料消耗</t>
  </si>
  <si>
    <t>劳动保护费</t>
  </si>
  <si>
    <t>停工损失</t>
  </si>
  <si>
    <t xml:space="preserve"> </t>
  </si>
  <si>
    <r>
      <t>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</si>
  <si>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名称</t>
  </si>
  <si>
    <r>
      <t> (</t>
    </r>
    <r>
      <rPr>
        <sz val="10.5"/>
        <rFont val="宋体"/>
        <family val="0"/>
      </rPr>
      <t>一</t>
    </r>
    <r>
      <rPr>
        <sz val="10.5"/>
        <rFont val="Times New Roman"/>
        <family val="1"/>
      </rPr>
      <t>) </t>
    </r>
    <r>
      <rPr>
        <sz val="10.5"/>
        <rFont val="宋体"/>
        <family val="0"/>
      </rPr>
      <t>资产类</t>
    </r>
  </si>
  <si>
    <t>外埠存款</t>
  </si>
  <si>
    <t>银行本票存款</t>
  </si>
  <si>
    <t>银行汇票存款</t>
  </si>
  <si>
    <t>信用卡存款</t>
  </si>
  <si>
    <t>信用证保证金存款</t>
  </si>
  <si>
    <t>存出投资款</t>
  </si>
  <si>
    <t>4 </t>
  </si>
  <si>
    <t>股票</t>
  </si>
  <si>
    <t>债券</t>
  </si>
  <si>
    <t>基金</t>
  </si>
  <si>
    <t>应收股息</t>
  </si>
  <si>
    <t>在途物资</t>
  </si>
  <si>
    <t>材料</t>
  </si>
  <si>
    <t>股票投资</t>
  </si>
  <si>
    <t>其他股权投资</t>
  </si>
  <si>
    <t>债券投资</t>
  </si>
  <si>
    <t>其他债权投资</t>
  </si>
  <si>
    <t>建筑工程</t>
  </si>
  <si>
    <t>安装工程</t>
  </si>
  <si>
    <t>技术改造工程</t>
  </si>
  <si>
    <t>其他支出</t>
  </si>
  <si>
    <r>
      <t> (</t>
    </r>
    <r>
      <rPr>
        <sz val="10.5"/>
        <rFont val="宋体"/>
        <family val="0"/>
      </rPr>
      <t>二</t>
    </r>
    <r>
      <rPr>
        <sz val="10.5"/>
        <rFont val="Times New Roman"/>
        <family val="1"/>
      </rPr>
      <t>) </t>
    </r>
    <r>
      <rPr>
        <sz val="10.5"/>
        <rFont val="宋体"/>
        <family val="0"/>
      </rPr>
      <t>负债类</t>
    </r>
  </si>
  <si>
    <t>应付利润</t>
  </si>
  <si>
    <t>应交增值税</t>
  </si>
  <si>
    <t>进项税额</t>
  </si>
  <si>
    <t>已交税金</t>
  </si>
  <si>
    <t>减免税款</t>
  </si>
  <si>
    <t>出口抵减内销产品应纳税额</t>
  </si>
  <si>
    <t>转出未交增值税</t>
  </si>
  <si>
    <t>出口退税</t>
  </si>
  <si>
    <t>进项税额转出</t>
  </si>
  <si>
    <t>转出多交增值税</t>
  </si>
  <si>
    <t>未交增值税</t>
  </si>
  <si>
    <t>应交营业税</t>
  </si>
  <si>
    <t>应交消费税</t>
  </si>
  <si>
    <t>应交资源税</t>
  </si>
  <si>
    <t>应交所得税</t>
  </si>
  <si>
    <t>应交土地增值税</t>
  </si>
  <si>
    <t>应交城市维护建设税</t>
  </si>
  <si>
    <t>应交房产税</t>
  </si>
  <si>
    <t>应交土地使用税</t>
  </si>
  <si>
    <t>应交车船使用税</t>
  </si>
  <si>
    <t>应交个人所得税</t>
  </si>
  <si>
    <t>接受捐赠货币性资产价值</t>
  </si>
  <si>
    <t>接受捐赠非货币性资产价值</t>
  </si>
  <si>
    <r>
      <t> (</t>
    </r>
    <r>
      <rPr>
        <sz val="10.5"/>
        <rFont val="宋体"/>
        <family val="0"/>
      </rPr>
      <t>三</t>
    </r>
    <r>
      <rPr>
        <sz val="10.5"/>
        <rFont val="Times New Roman"/>
        <family val="1"/>
      </rPr>
      <t>) </t>
    </r>
    <r>
      <rPr>
        <sz val="10.5"/>
        <rFont val="宋体"/>
        <family val="0"/>
      </rPr>
      <t>所有者权益类</t>
    </r>
    <r>
      <rPr>
        <sz val="10.5"/>
        <rFont val="Times New Roman"/>
        <family val="1"/>
      </rPr>
      <t> </t>
    </r>
  </si>
  <si>
    <t>资本溢价</t>
  </si>
  <si>
    <t>接受捐赠非现金资产准备</t>
  </si>
  <si>
    <t>外币资本折算差额</t>
  </si>
  <si>
    <t>其他资本公积</t>
  </si>
  <si>
    <t>任意盈余公积</t>
  </si>
  <si>
    <t>法定公益金</t>
  </si>
  <si>
    <t>其他转入</t>
  </si>
  <si>
    <t>提取法定盈余公积</t>
  </si>
  <si>
    <t>提取法定公益金</t>
  </si>
  <si>
    <t>提取任意盈余公积</t>
  </si>
  <si>
    <t>转作资本的利润</t>
  </si>
  <si>
    <t>未分配利润</t>
  </si>
  <si>
    <r>
      <t> (</t>
    </r>
    <r>
      <rPr>
        <sz val="10.5"/>
        <rFont val="宋体"/>
        <family val="0"/>
      </rPr>
      <t>四</t>
    </r>
    <r>
      <rPr>
        <sz val="10.5"/>
        <rFont val="Times New Roman"/>
        <family val="1"/>
      </rPr>
      <t>) </t>
    </r>
    <r>
      <rPr>
        <sz val="10.5"/>
        <rFont val="宋体"/>
        <family val="0"/>
      </rPr>
      <t>成本类</t>
    </r>
  </si>
  <si>
    <t>4102 </t>
  </si>
  <si>
    <t>基本生产成本</t>
  </si>
  <si>
    <t>辅助生产成本</t>
  </si>
  <si>
    <r>
      <t> (</t>
    </r>
    <r>
      <rPr>
        <sz val="10.5"/>
        <rFont val="宋体"/>
        <family val="0"/>
      </rPr>
      <t>五</t>
    </r>
    <r>
      <rPr>
        <sz val="10.5"/>
        <rFont val="Times New Roman"/>
        <family val="1"/>
      </rPr>
      <t>) </t>
    </r>
    <r>
      <rPr>
        <sz val="10.5"/>
        <rFont val="宋体"/>
        <family val="0"/>
      </rPr>
      <t>损益类</t>
    </r>
  </si>
  <si>
    <t>以前年度損益調整</t>
  </si>
  <si>
    <t>应收账款</t>
  </si>
  <si>
    <t>预提费用</t>
  </si>
  <si>
    <r>
      <t>科</t>
    </r>
    <r>
      <rPr>
        <sz val="10"/>
        <rFont val="宋体"/>
        <family val="0"/>
      </rPr>
      <t>目</t>
    </r>
    <r>
      <rPr>
        <sz val="10"/>
        <rFont val="宋体"/>
        <family val="0"/>
      </rPr>
      <t>名</t>
    </r>
    <r>
      <rPr>
        <sz val="10"/>
        <rFont val="宋体"/>
        <family val="0"/>
      </rPr>
      <t>称</t>
    </r>
    <r>
      <rPr>
        <sz val="10"/>
        <rFont val="Times New Roman"/>
        <family val="1"/>
      </rPr>
      <t>the name of item</t>
    </r>
  </si>
  <si>
    <r>
      <t>期初数</t>
    </r>
    <r>
      <rPr>
        <sz val="10"/>
        <rFont val="Times New Roman"/>
        <family val="1"/>
      </rPr>
      <t xml:space="preserve">  </t>
    </r>
    <r>
      <rPr>
        <sz val="7"/>
        <rFont val="Times New Roman"/>
        <family val="1"/>
      </rPr>
      <t>the beg of this year</t>
    </r>
  </si>
  <si>
    <r>
      <t>借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方</t>
    </r>
    <r>
      <rPr>
        <sz val="10"/>
        <rFont val="Times New Roman"/>
        <family val="1"/>
      </rPr>
      <t xml:space="preserve"> debit </t>
    </r>
  </si>
  <si>
    <r>
      <t>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方</t>
    </r>
    <r>
      <rPr>
        <sz val="10"/>
        <rFont val="Times New Roman"/>
        <family val="1"/>
      </rPr>
      <t xml:space="preserve"> credit</t>
    </r>
  </si>
  <si>
    <r>
      <t>期末余额</t>
    </r>
    <r>
      <rPr>
        <sz val="10"/>
        <rFont val="Times New Roman"/>
        <family val="1"/>
      </rPr>
      <t xml:space="preserve">  </t>
    </r>
    <r>
      <rPr>
        <sz val="7"/>
        <rFont val="Times New Roman"/>
        <family val="1"/>
      </rPr>
      <t>the end of this year</t>
    </r>
  </si>
  <si>
    <r>
      <t>期初数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宋体"/>
        <family val="0"/>
      </rPr>
      <t>代码</t>
    </r>
  </si>
  <si>
    <r>
      <t>借方数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宋体"/>
        <family val="0"/>
      </rPr>
      <t>代码</t>
    </r>
    <r>
      <rPr>
        <sz val="11"/>
        <color indexed="10"/>
        <rFont val="Times New Roman"/>
        <family val="1"/>
      </rPr>
      <t xml:space="preserve"> </t>
    </r>
  </si>
  <si>
    <r>
      <t>贷方数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宋体"/>
        <family val="0"/>
      </rPr>
      <t>代码</t>
    </r>
  </si>
  <si>
    <r>
      <t>余额数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宋体"/>
        <family val="0"/>
      </rPr>
      <t>代码</t>
    </r>
  </si>
  <si>
    <r>
      <t xml:space="preserve">   </t>
    </r>
    <r>
      <rPr>
        <sz val="10"/>
        <rFont val="宋体"/>
        <family val="0"/>
      </rPr>
      <t>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表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 </t>
    </r>
    <r>
      <rPr>
        <sz val="12"/>
        <rFont val="华文行楷"/>
        <family val="0"/>
      </rPr>
      <t>董 学 良</t>
    </r>
  </si>
  <si>
    <r>
      <t>资</t>
    </r>
    <r>
      <rPr>
        <sz val="18"/>
        <color indexed="10"/>
        <rFont val="Times New Roman"/>
        <family val="1"/>
      </rPr>
      <t xml:space="preserve">  </t>
    </r>
    <r>
      <rPr>
        <sz val="18"/>
        <color indexed="10"/>
        <rFont val="宋体"/>
        <family val="0"/>
      </rPr>
      <t>产</t>
    </r>
    <r>
      <rPr>
        <sz val="18"/>
        <color indexed="10"/>
        <rFont val="Times New Roman"/>
        <family val="1"/>
      </rPr>
      <t xml:space="preserve">  </t>
    </r>
    <r>
      <rPr>
        <sz val="18"/>
        <color indexed="10"/>
        <rFont val="宋体"/>
        <family val="0"/>
      </rPr>
      <t>负</t>
    </r>
    <r>
      <rPr>
        <sz val="18"/>
        <color indexed="10"/>
        <rFont val="Times New Roman"/>
        <family val="1"/>
      </rPr>
      <t xml:space="preserve">  </t>
    </r>
    <r>
      <rPr>
        <sz val="18"/>
        <color indexed="10"/>
        <rFont val="宋体"/>
        <family val="0"/>
      </rPr>
      <t>债</t>
    </r>
    <r>
      <rPr>
        <sz val="18"/>
        <color indexed="10"/>
        <rFont val="Times New Roman"/>
        <family val="1"/>
      </rPr>
      <t xml:space="preserve">  </t>
    </r>
    <r>
      <rPr>
        <sz val="18"/>
        <color indexed="10"/>
        <rFont val="宋体"/>
        <family val="0"/>
      </rPr>
      <t>表</t>
    </r>
  </si>
  <si>
    <t xml:space="preserve">    Balance Sheet</t>
  </si>
  <si>
    <t xml:space="preserve">   </t>
  </si>
  <si>
    <r>
      <t>资</t>
    </r>
    <r>
      <rPr>
        <sz val="12"/>
        <rFont val="Times New Roman"/>
        <family val="1"/>
      </rPr>
      <t xml:space="preserve">               </t>
    </r>
    <r>
      <rPr>
        <sz val="10"/>
        <rFont val="宋体"/>
        <family val="0"/>
      </rPr>
      <t>产</t>
    </r>
  </si>
  <si>
    <t>Assets</t>
  </si>
  <si>
    <t>行次</t>
  </si>
  <si>
    <t>line</t>
  </si>
  <si>
    <r>
      <t xml:space="preserve">  </t>
    </r>
    <r>
      <rPr>
        <sz val="10"/>
        <rFont val="宋体"/>
        <family val="0"/>
      </rPr>
      <t>货币资金</t>
    </r>
    <r>
      <rPr>
        <sz val="10"/>
        <rFont val="Times New Roman"/>
        <family val="1"/>
      </rPr>
      <t> </t>
    </r>
  </si>
  <si>
    <r>
      <t>  </t>
    </r>
    <r>
      <rPr>
        <sz val="10"/>
        <rFont val="宋体"/>
        <family val="0"/>
      </rPr>
      <t>短期投资</t>
    </r>
    <r>
      <rPr>
        <sz val="10"/>
        <rFont val="Times New Roman"/>
        <family val="1"/>
      </rPr>
      <t> </t>
    </r>
  </si>
  <si>
    <r>
      <t>  </t>
    </r>
    <r>
      <rPr>
        <sz val="10"/>
        <rFont val="宋体"/>
        <family val="0"/>
      </rPr>
      <t>应收票据</t>
    </r>
    <r>
      <rPr>
        <sz val="10"/>
        <rFont val="Times New Roman"/>
        <family val="1"/>
      </rPr>
      <t> </t>
    </r>
  </si>
  <si>
    <r>
      <t>  </t>
    </r>
    <r>
      <rPr>
        <sz val="10"/>
        <rFont val="宋体"/>
        <family val="0"/>
      </rPr>
      <t>应收股息</t>
    </r>
    <r>
      <rPr>
        <sz val="10"/>
        <rFont val="Times New Roman"/>
        <family val="1"/>
      </rPr>
      <t>    </t>
    </r>
  </si>
  <si>
    <r>
      <t>  </t>
    </r>
    <r>
      <rPr>
        <sz val="10"/>
        <rFont val="宋体"/>
        <family val="0"/>
      </rPr>
      <t>应收帐款</t>
    </r>
    <r>
      <rPr>
        <sz val="10"/>
        <rFont val="Times New Roman"/>
        <family val="1"/>
      </rPr>
      <t>    </t>
    </r>
  </si>
  <si>
    <r>
      <t>  </t>
    </r>
    <r>
      <rPr>
        <sz val="10"/>
        <rFont val="宋体"/>
        <family val="0"/>
      </rPr>
      <t>其他应收款</t>
    </r>
    <r>
      <rPr>
        <sz val="10"/>
        <rFont val="Times New Roman"/>
        <family val="1"/>
      </rPr>
      <t>     </t>
    </r>
  </si>
  <si>
    <r>
      <t>  </t>
    </r>
    <r>
      <rPr>
        <sz val="10"/>
        <rFont val="宋体"/>
        <family val="0"/>
      </rPr>
      <t>存货</t>
    </r>
    <r>
      <rPr>
        <sz val="10"/>
        <rFont val="Times New Roman"/>
        <family val="1"/>
      </rPr>
      <t>      </t>
    </r>
  </si>
  <si>
    <t>办公费</t>
  </si>
  <si>
    <t>办公费</t>
  </si>
  <si>
    <t>折旧费</t>
  </si>
  <si>
    <t>广告费</t>
  </si>
  <si>
    <r>
      <t xml:space="preserve">  </t>
    </r>
    <r>
      <rPr>
        <sz val="10"/>
        <rFont val="宋体"/>
        <family val="0"/>
      </rPr>
      <t>待摊费用</t>
    </r>
    <r>
      <rPr>
        <sz val="10"/>
        <rFont val="Times New Roman"/>
        <family val="1"/>
      </rPr>
      <t>       </t>
    </r>
  </si>
  <si>
    <r>
      <t>  </t>
    </r>
    <r>
      <rPr>
        <sz val="10"/>
        <rFont val="宋体"/>
        <family val="0"/>
      </rPr>
      <t>一年内到期的长期债券投资</t>
    </r>
    <r>
      <rPr>
        <sz val="10"/>
        <rFont val="Times New Roman"/>
        <family val="1"/>
      </rPr>
      <t>      </t>
    </r>
  </si>
  <si>
    <r>
      <t xml:space="preserve">  </t>
    </r>
    <r>
      <rPr>
        <sz val="10"/>
        <rFont val="宋体"/>
        <family val="0"/>
      </rPr>
      <t>其他流动资产</t>
    </r>
    <r>
      <rPr>
        <sz val="10"/>
        <rFont val="Times New Roman"/>
        <family val="1"/>
      </rPr>
      <t>     </t>
    </r>
  </si>
  <si>
    <r>
      <t>流动资产合计</t>
    </r>
    <r>
      <rPr>
        <sz val="10"/>
        <rFont val="Times New Roman"/>
        <family val="1"/>
      </rPr>
      <t>     </t>
    </r>
  </si>
  <si>
    <r>
      <t>长期投资：</t>
    </r>
    <r>
      <rPr>
        <sz val="10"/>
        <rFont val="Times New Roman"/>
        <family val="1"/>
      </rPr>
      <t>      </t>
    </r>
  </si>
  <si>
    <r>
      <t>  </t>
    </r>
    <r>
      <rPr>
        <sz val="10"/>
        <rFont val="宋体"/>
        <family val="0"/>
      </rPr>
      <t>长期股权投资</t>
    </r>
    <r>
      <rPr>
        <sz val="10"/>
        <rFont val="Times New Roman"/>
        <family val="1"/>
      </rPr>
      <t>    </t>
    </r>
  </si>
  <si>
    <r>
      <t xml:space="preserve"> 长期债权投资</t>
    </r>
    <r>
      <rPr>
        <sz val="10"/>
        <rFont val="Times New Roman"/>
        <family val="1"/>
      </rPr>
      <t>    </t>
    </r>
  </si>
  <si>
    <r>
      <t>长期投资合计</t>
    </r>
    <r>
      <rPr>
        <sz val="10"/>
        <rFont val="Times New Roman"/>
        <family val="1"/>
      </rPr>
      <t>      </t>
    </r>
  </si>
  <si>
    <r>
      <t>固定资产：</t>
    </r>
    <r>
      <rPr>
        <sz val="10"/>
        <rFont val="Times New Roman"/>
        <family val="1"/>
      </rPr>
      <t>      </t>
    </r>
  </si>
  <si>
    <r>
      <t>  </t>
    </r>
    <r>
      <rPr>
        <sz val="10"/>
        <rFont val="宋体"/>
        <family val="0"/>
      </rPr>
      <t>固定资产原价</t>
    </r>
    <r>
      <rPr>
        <sz val="10"/>
        <rFont val="Times New Roman"/>
        <family val="1"/>
      </rPr>
      <t>      </t>
    </r>
  </si>
  <si>
    <r>
      <t xml:space="preserve">   减：累计折旧</t>
    </r>
    <r>
      <rPr>
        <sz val="10"/>
        <rFont val="Times New Roman"/>
        <family val="1"/>
      </rPr>
      <t>    </t>
    </r>
  </si>
  <si>
    <r>
      <t>  </t>
    </r>
    <r>
      <rPr>
        <sz val="10"/>
        <rFont val="宋体"/>
        <family val="0"/>
      </rPr>
      <t>固定资产净值</t>
    </r>
    <r>
      <rPr>
        <sz val="10"/>
        <rFont val="Times New Roman"/>
        <family val="1"/>
      </rPr>
      <t>   </t>
    </r>
  </si>
  <si>
    <r>
      <t xml:space="preserve">  </t>
    </r>
    <r>
      <rPr>
        <sz val="10"/>
        <rFont val="宋体"/>
        <family val="0"/>
      </rPr>
      <t>工程物资</t>
    </r>
    <r>
      <rPr>
        <sz val="10"/>
        <rFont val="Times New Roman"/>
        <family val="1"/>
      </rPr>
      <t>       </t>
    </r>
  </si>
  <si>
    <r>
      <t xml:space="preserve">  </t>
    </r>
    <r>
      <rPr>
        <sz val="10"/>
        <rFont val="宋体"/>
        <family val="0"/>
      </rPr>
      <t>在建工程</t>
    </r>
    <r>
      <rPr>
        <sz val="10"/>
        <rFont val="Times New Roman"/>
        <family val="1"/>
      </rPr>
      <t>    </t>
    </r>
  </si>
  <si>
    <r>
      <t xml:space="preserve">  </t>
    </r>
    <r>
      <rPr>
        <sz val="10"/>
        <rFont val="宋体"/>
        <family val="0"/>
      </rPr>
      <t>固定资产清理</t>
    </r>
    <r>
      <rPr>
        <sz val="10"/>
        <rFont val="Times New Roman"/>
        <family val="1"/>
      </rPr>
      <t>       </t>
    </r>
  </si>
  <si>
    <r>
      <t>固定资产合计</t>
    </r>
    <r>
      <rPr>
        <sz val="10"/>
        <rFont val="Times New Roman"/>
        <family val="1"/>
      </rPr>
      <t>      </t>
    </r>
  </si>
  <si>
    <r>
      <t>无形资产及其他资产：</t>
    </r>
    <r>
      <rPr>
        <sz val="10"/>
        <rFont val="Times New Roman"/>
        <family val="1"/>
      </rPr>
      <t>      </t>
    </r>
  </si>
  <si>
    <r>
      <t>  </t>
    </r>
    <r>
      <rPr>
        <sz val="10"/>
        <rFont val="宋体"/>
        <family val="0"/>
      </rPr>
      <t>无形资产</t>
    </r>
    <r>
      <rPr>
        <sz val="10"/>
        <rFont val="Times New Roman"/>
        <family val="1"/>
      </rPr>
      <t>      </t>
    </r>
  </si>
  <si>
    <r>
      <t xml:space="preserve"> 长期待摊费用</t>
    </r>
    <r>
      <rPr>
        <sz val="10"/>
        <rFont val="Times New Roman"/>
        <family val="1"/>
      </rPr>
      <t>      </t>
    </r>
  </si>
  <si>
    <r>
      <t>  </t>
    </r>
    <r>
      <rPr>
        <sz val="10"/>
        <rFont val="宋体"/>
        <family val="0"/>
      </rPr>
      <t>其他长期资产</t>
    </r>
    <r>
      <rPr>
        <sz val="10"/>
        <rFont val="Times New Roman"/>
        <family val="1"/>
      </rPr>
      <t>     </t>
    </r>
  </si>
  <si>
    <r>
      <t>无形资产及其他资产合计</t>
    </r>
    <r>
      <rPr>
        <sz val="10"/>
        <rFont val="Times New Roman"/>
        <family val="1"/>
      </rPr>
      <t>    </t>
    </r>
  </si>
  <si>
    <r>
      <t>资  产  合  计</t>
    </r>
    <r>
      <rPr>
        <b/>
        <sz val="10"/>
        <rFont val="Times New Roman"/>
        <family val="1"/>
      </rPr>
      <t>    </t>
    </r>
  </si>
  <si>
    <r>
      <t>负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债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及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所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有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者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权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益</t>
    </r>
  </si>
  <si>
    <t>liabilites and owners'equity</t>
  </si>
  <si>
    <r>
      <t>一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</t>
    </r>
  </si>
  <si>
    <r>
      <t>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</t>
    </r>
  </si>
  <si>
    <r>
      <t>三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</t>
    </r>
  </si>
  <si>
    <r>
      <t>四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</t>
    </r>
  </si>
  <si>
    <r>
      <t>五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</t>
    </r>
  </si>
  <si>
    <r>
      <t>六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 </t>
    </r>
  </si>
  <si>
    <r>
      <t>七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 </t>
    </r>
  </si>
  <si>
    <r>
      <t>八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 </t>
    </r>
  </si>
  <si>
    <r>
      <t>九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</t>
    </r>
  </si>
  <si>
    <r>
      <t>十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    </t>
    </r>
  </si>
  <si>
    <r>
      <t>十一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 </t>
    </r>
  </si>
  <si>
    <r>
      <t>十二</t>
    </r>
    <r>
      <rPr>
        <sz val="9"/>
        <color indexed="9"/>
        <rFont val="Times New Roman"/>
        <family val="1"/>
      </rPr>
      <t xml:space="preserve"> </t>
    </r>
    <r>
      <rPr>
        <sz val="9"/>
        <color indexed="9"/>
        <rFont val="宋体"/>
        <family val="0"/>
      </rPr>
      <t>月</t>
    </r>
    <r>
      <rPr>
        <sz val="9"/>
        <color indexed="9"/>
        <rFont val="Times New Roman"/>
        <family val="1"/>
      </rPr>
      <t xml:space="preserve"> </t>
    </r>
  </si>
  <si>
    <r>
      <t>  </t>
    </r>
    <r>
      <rPr>
        <sz val="10"/>
        <rFont val="宋体"/>
        <family val="0"/>
      </rPr>
      <t>短期借款</t>
    </r>
    <r>
      <rPr>
        <sz val="10"/>
        <rFont val="Times New Roman"/>
        <family val="1"/>
      </rPr>
      <t> </t>
    </r>
  </si>
  <si>
    <r>
      <t xml:space="preserve">  </t>
    </r>
    <r>
      <rPr>
        <sz val="10"/>
        <rFont val="宋体"/>
        <family val="0"/>
      </rPr>
      <t>应付票据</t>
    </r>
    <r>
      <rPr>
        <sz val="10"/>
        <rFont val="Times New Roman"/>
        <family val="1"/>
      </rPr>
      <t> </t>
    </r>
  </si>
  <si>
    <r>
      <t xml:space="preserve">  </t>
    </r>
    <r>
      <rPr>
        <sz val="10"/>
        <rFont val="宋体"/>
        <family val="0"/>
      </rPr>
      <t>应付帐款</t>
    </r>
    <r>
      <rPr>
        <sz val="10"/>
        <rFont val="Times New Roman"/>
        <family val="1"/>
      </rPr>
      <t> </t>
    </r>
  </si>
  <si>
    <t> 应付工资 </t>
  </si>
  <si>
    <t> 应付福利费 </t>
  </si>
  <si>
    <t> 应付利润 </t>
  </si>
  <si>
    <t xml:space="preserve"> 应交税金 </t>
  </si>
  <si>
    <t xml:space="preserve"> 其他应交款</t>
  </si>
  <si>
    <t xml:space="preserve"> 其他应付款</t>
  </si>
  <si>
    <t xml:space="preserve"> 预提费用 </t>
  </si>
  <si>
    <t xml:space="preserve"> 一年内到期的长期负债 </t>
  </si>
  <si>
    <t xml:space="preserve"> 其他流动负债</t>
  </si>
  <si>
    <t>流动负债合计</t>
  </si>
  <si>
    <t xml:space="preserve"> 长期负债：   </t>
  </si>
  <si>
    <t xml:space="preserve"> 长期借款</t>
  </si>
  <si>
    <t xml:space="preserve"> 长期应付款 </t>
  </si>
  <si>
    <t xml:space="preserve"> 其他长期负债 </t>
  </si>
  <si>
    <t>长期负债合计</t>
  </si>
  <si>
    <t>负债合计 </t>
  </si>
  <si>
    <t xml:space="preserve"> 所有者权益（或股东权益）：</t>
  </si>
  <si>
    <t xml:space="preserve"> 实收资本 </t>
  </si>
  <si>
    <t xml:space="preserve"> 资本公积 </t>
  </si>
  <si>
    <t xml:space="preserve"> 盈余公积 </t>
  </si>
  <si>
    <t xml:space="preserve">   其中：法定公益金</t>
  </si>
  <si>
    <t> 未分配利润</t>
  </si>
  <si>
    <t>所有者权益（或股东权益）合计 </t>
  </si>
  <si>
    <t>负债和所有者权益（或股东权益）总计</t>
  </si>
  <si>
    <r>
      <t>会小企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</si>
  <si>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位：元</t>
    </r>
  </si>
  <si>
    <t>资      产</t>
  </si>
  <si>
    <t>年  初  数</t>
  </si>
  <si>
    <r>
      <t> </t>
    </r>
    <r>
      <rPr>
        <sz val="10"/>
        <rFont val="宋体"/>
        <family val="0"/>
      </rPr>
      <t>期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末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数</t>
    </r>
  </si>
  <si>
    <t>期  末  数</t>
  </si>
  <si>
    <t xml:space="preserve"> 所有者权益（或股东权益）合计 </t>
  </si>
  <si>
    <t>其他应付款</t>
  </si>
  <si>
    <t>停工损失</t>
  </si>
  <si>
    <t>待业保险费</t>
  </si>
  <si>
    <t>房产税</t>
  </si>
  <si>
    <t>车辆使用税</t>
  </si>
  <si>
    <t>土地使用税</t>
  </si>
  <si>
    <t>印花税</t>
  </si>
  <si>
    <t>技术转让费</t>
  </si>
  <si>
    <t>存货盘亏或盘盈</t>
  </si>
  <si>
    <t>金融機構手續費</t>
  </si>
  <si>
    <t>以前年度損益調整</t>
  </si>
  <si>
    <t>序号</t>
  </si>
  <si>
    <r>
      <t>会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计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目</t>
    </r>
  </si>
  <si>
    <r>
      <t>一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</si>
  <si>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r>
      <t>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</si>
  <si>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r>
      <t>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级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科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目</t>
    </r>
  </si>
  <si>
    <r>
      <t>应交税金</t>
    </r>
    <r>
      <rPr>
        <sz val="12"/>
        <color indexed="10"/>
        <rFont val="Times New Roman"/>
        <family val="1"/>
      </rPr>
      <t>/</t>
    </r>
    <r>
      <rPr>
        <sz val="12"/>
        <rFont val="宋体"/>
        <family val="0"/>
      </rPr>
      <t>应交增值税</t>
    </r>
    <r>
      <rPr>
        <sz val="12"/>
        <color indexed="10"/>
        <rFont val="Times New Roman"/>
        <family val="1"/>
      </rPr>
      <t>/</t>
    </r>
    <r>
      <rPr>
        <sz val="12"/>
        <rFont val="宋体"/>
        <family val="0"/>
      </rPr>
      <t>进项税额</t>
    </r>
  </si>
  <si>
    <r>
      <t>管理费用</t>
    </r>
    <r>
      <rPr>
        <sz val="12"/>
        <color indexed="12"/>
        <rFont val="Times New Roman"/>
        <family val="1"/>
      </rPr>
      <t>/</t>
    </r>
    <r>
      <rPr>
        <sz val="12"/>
        <rFont val="宋体"/>
        <family val="0"/>
      </rPr>
      <t>差旅费</t>
    </r>
    <r>
      <rPr>
        <sz val="12"/>
        <color indexed="12"/>
        <rFont val="Times New Roman"/>
        <family val="1"/>
      </rPr>
      <t>/</t>
    </r>
    <r>
      <rPr>
        <sz val="12"/>
        <rFont val="宋体"/>
        <family val="0"/>
      </rPr>
      <t>总务部</t>
    </r>
  </si>
  <si>
    <r>
      <t>其他应交款</t>
    </r>
    <r>
      <rPr>
        <sz val="12"/>
        <color indexed="57"/>
        <rFont val="Times New Roman"/>
        <family val="1"/>
      </rPr>
      <t>/</t>
    </r>
    <r>
      <rPr>
        <sz val="12"/>
        <rFont val="宋体"/>
        <family val="0"/>
      </rPr>
      <t>教育费附加</t>
    </r>
    <r>
      <rPr>
        <sz val="12"/>
        <color indexed="57"/>
        <rFont val="Times New Roman"/>
        <family val="1"/>
      </rPr>
      <t>/</t>
    </r>
  </si>
  <si>
    <t>利息</t>
  </si>
  <si>
    <t>金融機構手續費</t>
  </si>
  <si>
    <t>工资</t>
  </si>
  <si>
    <t>工资</t>
  </si>
  <si>
    <t>管理费用</t>
  </si>
  <si>
    <t>制造费用</t>
  </si>
  <si>
    <t>本年利润</t>
  </si>
  <si>
    <t>财务费用</t>
  </si>
  <si>
    <t>长期股权投资</t>
  </si>
  <si>
    <t>长期借款</t>
  </si>
  <si>
    <t>长期应付款</t>
  </si>
  <si>
    <t>长期债权投资</t>
  </si>
  <si>
    <t>存货跌价准备</t>
  </si>
  <si>
    <t>待摊费用</t>
  </si>
  <si>
    <t>待转资产价值</t>
  </si>
  <si>
    <t>低值易耗品</t>
  </si>
  <si>
    <t>短期借款</t>
  </si>
  <si>
    <t>短期投资</t>
  </si>
  <si>
    <t>短期投资跌价准备</t>
  </si>
  <si>
    <t>法定盈余公积</t>
  </si>
  <si>
    <t>工程物资</t>
  </si>
  <si>
    <t>固定资产</t>
  </si>
  <si>
    <t>固定资产清理</t>
  </si>
  <si>
    <t>库存商品</t>
  </si>
  <si>
    <t>累计折旧</t>
  </si>
  <si>
    <t>利润分配</t>
  </si>
  <si>
    <t>利息</t>
  </si>
  <si>
    <t>商品进销差价</t>
  </si>
  <si>
    <t>生产成本</t>
  </si>
  <si>
    <t>实收资本</t>
  </si>
  <si>
    <t>所得税</t>
  </si>
  <si>
    <t>投资收益</t>
  </si>
  <si>
    <t>委托代销商品</t>
  </si>
  <si>
    <t>应付福利费</t>
  </si>
  <si>
    <t>应付工资</t>
  </si>
  <si>
    <t>应付票据</t>
  </si>
  <si>
    <t>应交税金</t>
  </si>
  <si>
    <t>盈余公积</t>
  </si>
  <si>
    <t>营业费用</t>
  </si>
  <si>
    <t>营业外收入</t>
  </si>
  <si>
    <t>营业外支出</t>
  </si>
  <si>
    <t>预提费用</t>
  </si>
  <si>
    <t>在建工程</t>
  </si>
  <si>
    <t>主营业务成本</t>
  </si>
  <si>
    <t>主营业务收入</t>
  </si>
  <si>
    <t>主营业务税金及附加</t>
  </si>
  <si>
    <t>资本公积</t>
  </si>
  <si>
    <t xml:space="preserve"> Ending </t>
  </si>
  <si>
    <t>现金</t>
  </si>
  <si>
    <t>银行存款</t>
  </si>
  <si>
    <t>应收票据</t>
  </si>
  <si>
    <t>应付账款</t>
  </si>
  <si>
    <t>January</t>
  </si>
  <si>
    <t xml:space="preserve"> 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</si>
  <si>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</si>
  <si>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</si>
  <si>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</si>
  <si>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</si>
  <si>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</si>
  <si>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</si>
  <si>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</si>
  <si>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</si>
  <si>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 November</t>
  </si>
  <si>
    <t>December</t>
  </si>
  <si>
    <t>February</t>
  </si>
  <si>
    <t>行次</t>
  </si>
  <si>
    <r>
      <t>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</si>
  <si>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</si>
  <si>
    <r>
      <t>四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</si>
  <si>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五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</si>
  <si>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</si>
  <si>
    <r>
      <t>十一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</t>
    </r>
  </si>
  <si>
    <r>
      <t>十二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</t>
    </r>
  </si>
  <si>
    <r>
      <t> </t>
    </r>
    <r>
      <rPr>
        <sz val="10"/>
        <rFont val="宋体"/>
        <family val="0"/>
      </rPr>
      <t>行次</t>
    </r>
  </si>
  <si>
    <t>负债和所有者权益（或股东权益）</t>
  </si>
  <si>
    <t>行次</t>
  </si>
  <si>
    <t>流动资产：</t>
  </si>
  <si>
    <r>
      <t> </t>
    </r>
    <r>
      <rPr>
        <sz val="10"/>
        <rFont val="宋体"/>
        <family val="0"/>
      </rPr>
      <t>流动负债：</t>
    </r>
  </si>
  <si>
    <r>
      <t>利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宋体"/>
        <family val="0"/>
      </rPr>
      <t>润</t>
    </r>
    <r>
      <rPr>
        <sz val="14"/>
        <color indexed="10"/>
        <rFont val="Times New Roman"/>
        <family val="1"/>
      </rPr>
      <t xml:space="preserve">  </t>
    </r>
    <r>
      <rPr>
        <sz val="14"/>
        <color indexed="10"/>
        <rFont val="宋体"/>
        <family val="0"/>
      </rPr>
      <t>表</t>
    </r>
  </si>
  <si>
    <t xml:space="preserve">                  Income statement</t>
  </si>
  <si>
    <t>A</t>
  </si>
  <si>
    <t>B</t>
  </si>
  <si>
    <t>C</t>
  </si>
  <si>
    <t>D</t>
  </si>
  <si>
    <t>E</t>
  </si>
  <si>
    <t>F</t>
  </si>
  <si>
    <r>
      <t>项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目</t>
    </r>
  </si>
  <si>
    <t>行次</t>
  </si>
  <si>
    <t>January</t>
  </si>
  <si>
    <t>February</t>
  </si>
  <si>
    <t>March</t>
  </si>
  <si>
    <t>January-March</t>
  </si>
  <si>
    <t>April</t>
  </si>
  <si>
    <t>May</t>
  </si>
  <si>
    <t>June</t>
  </si>
  <si>
    <t>April-June</t>
  </si>
  <si>
    <t>January-June</t>
  </si>
  <si>
    <t>July</t>
  </si>
  <si>
    <t>January-March</t>
  </si>
  <si>
    <t>April-June</t>
  </si>
  <si>
    <r>
      <t>本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期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</si>
  <si>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本  季  数</t>
  </si>
  <si>
    <t>其他应付款</t>
  </si>
  <si>
    <t>100200 </t>
  </si>
  <si>
    <t>100200 </t>
  </si>
  <si>
    <t>111100 </t>
  </si>
  <si>
    <t>111100 </t>
  </si>
  <si>
    <t>112100 </t>
  </si>
  <si>
    <t>112100 </t>
  </si>
  <si>
    <t>113100 </t>
  </si>
  <si>
    <t>113100 </t>
  </si>
  <si>
    <t>113300 </t>
  </si>
  <si>
    <t>113300 </t>
  </si>
  <si>
    <t>114100 </t>
  </si>
  <si>
    <t>114100 </t>
  </si>
  <si>
    <t>120100 </t>
  </si>
  <si>
    <t>120100 </t>
  </si>
  <si>
    <t>121100 </t>
  </si>
  <si>
    <t>121100 </t>
  </si>
  <si>
    <t>123100 </t>
  </si>
  <si>
    <t>123100 </t>
  </si>
  <si>
    <t>124400 </t>
  </si>
  <si>
    <t>124400 </t>
  </si>
  <si>
    <t>125100 </t>
  </si>
  <si>
    <t>125100 </t>
  </si>
  <si>
    <t>126100 </t>
  </si>
  <si>
    <t>126100 </t>
  </si>
  <si>
    <t>128100 </t>
  </si>
  <si>
    <t>128100 </t>
  </si>
  <si>
    <t>130100 </t>
  </si>
  <si>
    <t>130100 </t>
  </si>
  <si>
    <t>140200 </t>
  </si>
  <si>
    <t>140200 </t>
  </si>
  <si>
    <t>150100 </t>
  </si>
  <si>
    <t>150100 </t>
  </si>
  <si>
    <t>150200 </t>
  </si>
  <si>
    <t>150200 </t>
  </si>
  <si>
    <t>160100 </t>
  </si>
  <si>
    <t>160100 </t>
  </si>
  <si>
    <t>160300 </t>
  </si>
  <si>
    <t>160300 </t>
  </si>
  <si>
    <t>180100 </t>
  </si>
  <si>
    <t>180100 </t>
  </si>
  <si>
    <t>190100 </t>
  </si>
  <si>
    <t>190100 </t>
  </si>
  <si>
    <t>210100 </t>
  </si>
  <si>
    <t>210100 </t>
  </si>
  <si>
    <t>211100 </t>
  </si>
  <si>
    <t>211100 </t>
  </si>
  <si>
    <t>212100 </t>
  </si>
  <si>
    <t>212100 </t>
  </si>
  <si>
    <t>215100 </t>
  </si>
  <si>
    <t>215100 </t>
  </si>
  <si>
    <t>216100 </t>
  </si>
  <si>
    <t>216100 </t>
  </si>
  <si>
    <t>217100 </t>
  </si>
  <si>
    <t>217100 </t>
  </si>
  <si>
    <t>217600 </t>
  </si>
  <si>
    <t>217600 </t>
  </si>
  <si>
    <t>220100 </t>
  </si>
  <si>
    <t>220100 </t>
  </si>
  <si>
    <t>230100 </t>
  </si>
  <si>
    <t>230100 </t>
  </si>
  <si>
    <t>232100 </t>
  </si>
  <si>
    <t>232100 </t>
  </si>
  <si>
    <t>310100 </t>
  </si>
  <si>
    <t>310100 </t>
  </si>
  <si>
    <t>311100 </t>
  </si>
  <si>
    <t>311100 </t>
  </si>
  <si>
    <t>312100 </t>
  </si>
  <si>
    <t>312100 </t>
  </si>
  <si>
    <t>313100 </t>
  </si>
  <si>
    <t>313100 </t>
  </si>
  <si>
    <t>314100 </t>
  </si>
  <si>
    <t>314100 </t>
  </si>
  <si>
    <t>410200 </t>
  </si>
  <si>
    <t>410200 </t>
  </si>
  <si>
    <t>410500 </t>
  </si>
  <si>
    <t>410500 </t>
  </si>
  <si>
    <t>510100 </t>
  </si>
  <si>
    <t>510100 </t>
  </si>
  <si>
    <t>510200 </t>
  </si>
  <si>
    <t>510200 </t>
  </si>
  <si>
    <t>520100 </t>
  </si>
  <si>
    <t>520100 </t>
  </si>
  <si>
    <t>530100 </t>
  </si>
  <si>
    <t>530100 </t>
  </si>
  <si>
    <t>540100 </t>
  </si>
  <si>
    <t>540100 </t>
  </si>
  <si>
    <t>540200 </t>
  </si>
  <si>
    <t>540200 </t>
  </si>
  <si>
    <t>540500 </t>
  </si>
  <si>
    <t>540500 </t>
  </si>
  <si>
    <t>550100 </t>
  </si>
  <si>
    <t>550100 </t>
  </si>
  <si>
    <t>550200 </t>
  </si>
  <si>
    <t>550200 </t>
  </si>
  <si>
    <t>550300 </t>
  </si>
  <si>
    <t>550300 </t>
  </si>
  <si>
    <t>560100 </t>
  </si>
  <si>
    <t>560100 </t>
  </si>
  <si>
    <t>570100 </t>
  </si>
  <si>
    <t>570100 </t>
  </si>
  <si>
    <t>570200 </t>
  </si>
  <si>
    <t>570200 </t>
  </si>
  <si>
    <t>100902  </t>
  </si>
  <si>
    <t>100903  </t>
  </si>
  <si>
    <t>100904  </t>
  </si>
  <si>
    <t>100905  </t>
  </si>
  <si>
    <t>100906  </t>
  </si>
  <si>
    <t>100907  </t>
  </si>
  <si>
    <t>110102  </t>
  </si>
  <si>
    <t>110103  </t>
  </si>
  <si>
    <t>110104  </t>
  </si>
  <si>
    <t>110111  </t>
  </si>
  <si>
    <t>140102  </t>
  </si>
  <si>
    <t>140103  </t>
  </si>
  <si>
    <t>140202  </t>
  </si>
  <si>
    <t>140203  </t>
  </si>
  <si>
    <t>160302  </t>
  </si>
  <si>
    <t>160303  </t>
  </si>
  <si>
    <t>160304  </t>
  </si>
  <si>
    <t>160305  </t>
  </si>
  <si>
    <t>217102 </t>
  </si>
  <si>
    <t>217104 </t>
  </si>
  <si>
    <t>217105 </t>
  </si>
  <si>
    <t>217106 </t>
  </si>
  <si>
    <t>217107 </t>
  </si>
  <si>
    <t>217108 </t>
  </si>
  <si>
    <t>217109 </t>
  </si>
  <si>
    <t>217110 </t>
  </si>
  <si>
    <t>217111 </t>
  </si>
  <si>
    <t>217112 </t>
  </si>
  <si>
    <t>217113 </t>
  </si>
  <si>
    <t>220102     </t>
  </si>
  <si>
    <t>220103     </t>
  </si>
  <si>
    <t>311102  </t>
  </si>
  <si>
    <t>311103  </t>
  </si>
  <si>
    <t>311107  </t>
  </si>
  <si>
    <t>311108  </t>
  </si>
  <si>
    <t>312102  </t>
  </si>
  <si>
    <t>312103  </t>
  </si>
  <si>
    <t>312104  </t>
  </si>
  <si>
    <t>314102  </t>
  </si>
  <si>
    <t>314103  </t>
  </si>
  <si>
    <t>314104  </t>
  </si>
  <si>
    <t>314110  </t>
  </si>
  <si>
    <t>314111  </t>
  </si>
  <si>
    <t>314112  </t>
  </si>
  <si>
    <t>314116  </t>
  </si>
  <si>
    <t>410501 </t>
  </si>
  <si>
    <t>550101 </t>
  </si>
  <si>
    <t>550201 </t>
  </si>
  <si>
    <t>550301 </t>
  </si>
  <si>
    <t>车辆使用税</t>
  </si>
  <si>
    <t>存货盘亏或盘盈</t>
  </si>
  <si>
    <t>待业保险费</t>
  </si>
  <si>
    <t>低值易耗品摊销</t>
  </si>
  <si>
    <t>房产税</t>
  </si>
  <si>
    <t>工会经费</t>
  </si>
  <si>
    <t>坏账准备</t>
  </si>
  <si>
    <t>技术转让费</t>
  </si>
  <si>
    <t>劳动保险费</t>
  </si>
  <si>
    <t>聘请中介机构费</t>
  </si>
  <si>
    <t>诉讼费</t>
  </si>
  <si>
    <t>土地使用税</t>
  </si>
  <si>
    <t>无形资产摊销</t>
  </si>
  <si>
    <t>修理费</t>
  </si>
  <si>
    <t>研究与开发费</t>
  </si>
  <si>
    <t>业务招待费</t>
  </si>
  <si>
    <t>印花税</t>
  </si>
  <si>
    <t>职工教育经费</t>
  </si>
  <si>
    <t>项                  目</t>
  </si>
  <si>
    <r>
      <t>本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累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</si>
  <si>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r>
      <t>本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累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计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</si>
  <si>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t>cumulative amount</t>
  </si>
  <si>
    <t>cumulative amount</t>
  </si>
  <si>
    <t>制造费用明细表</t>
  </si>
  <si>
    <t>科目编号</t>
  </si>
  <si>
    <t>费 用 项 目</t>
  </si>
  <si>
    <t>code</t>
  </si>
  <si>
    <r>
      <t>本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期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</si>
  <si>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This term</t>
  </si>
  <si>
    <t>合    计</t>
  </si>
  <si>
    <t>total</t>
  </si>
  <si>
    <r>
      <t>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</si>
  <si>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</t>
    </r>
  </si>
  <si>
    <r>
      <t>三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</si>
  <si>
    <r>
      <t>四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</si>
  <si>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五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</t>
    </r>
  </si>
  <si>
    <r>
      <t>六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</si>
  <si>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七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</si>
  <si>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八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</si>
  <si>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</t>
    </r>
  </si>
  <si>
    <r>
      <t>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</t>
    </r>
  </si>
  <si>
    <r>
      <t>十一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</t>
    </r>
  </si>
  <si>
    <r>
      <t>十二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</t>
    </r>
  </si>
  <si>
    <r>
      <t>本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累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计</t>
    </r>
    <r>
      <rPr>
        <sz val="12"/>
        <rFont val="Times New Roman"/>
        <family val="1"/>
      </rPr>
      <t xml:space="preserve"> </t>
    </r>
    <r>
      <rPr>
        <sz val="10"/>
        <rFont val="宋体"/>
        <family val="0"/>
      </rPr>
      <t>数</t>
    </r>
  </si>
  <si>
    <t>营业费用明细表</t>
  </si>
  <si>
    <t>the ledger schedule of business expenses</t>
  </si>
  <si>
    <t>A</t>
  </si>
  <si>
    <t>B</t>
  </si>
  <si>
    <t>January-March</t>
  </si>
  <si>
    <t>June</t>
  </si>
  <si>
    <t>April-June</t>
  </si>
  <si>
    <t>本  季  数</t>
  </si>
  <si>
    <t>办公费</t>
  </si>
  <si>
    <t>差旅费</t>
  </si>
  <si>
    <t>其他</t>
  </si>
  <si>
    <r>
      <t>本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年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累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计</t>
    </r>
    <r>
      <rPr>
        <sz val="12"/>
        <color indexed="12"/>
        <rFont val="Times New Roman"/>
        <family val="1"/>
      </rPr>
      <t xml:space="preserve"> </t>
    </r>
    <r>
      <rPr>
        <sz val="10"/>
        <color indexed="12"/>
        <rFont val="宋体"/>
        <family val="0"/>
      </rPr>
      <t>数</t>
    </r>
  </si>
  <si>
    <r>
      <t>管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理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费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用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明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细</t>
    </r>
    <r>
      <rPr>
        <sz val="16"/>
        <color indexed="10"/>
        <rFont val="Times New Roman"/>
        <family val="1"/>
      </rPr>
      <t xml:space="preserve"> </t>
    </r>
    <r>
      <rPr>
        <sz val="16"/>
        <color indexed="10"/>
        <rFont val="宋体"/>
        <family val="0"/>
      </rPr>
      <t>表</t>
    </r>
  </si>
  <si>
    <t>General and administrative expenses</t>
  </si>
  <si>
    <t>A</t>
  </si>
  <si>
    <t>B</t>
  </si>
  <si>
    <t>科目编号</t>
  </si>
  <si>
    <t>费 用 项 目</t>
  </si>
  <si>
    <t>cost item</t>
  </si>
  <si>
    <r>
      <t>本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期</t>
    </r>
    <r>
      <rPr>
        <sz val="12"/>
        <rFont val="Times New Roman"/>
        <family val="1"/>
      </rPr>
      <t xml:space="preserve">  </t>
    </r>
    <r>
      <rPr>
        <sz val="10"/>
        <rFont val="宋体"/>
        <family val="0"/>
      </rPr>
      <t>数</t>
    </r>
  </si>
  <si>
    <t>This term</t>
  </si>
  <si>
    <t>合    计</t>
  </si>
  <si>
    <t>费 用 项 目</t>
  </si>
  <si>
    <r>
      <t>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</t>
    </r>
  </si>
  <si>
    <r>
      <t>六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</si>
  <si>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七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</si>
  <si>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八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</t>
    </r>
  </si>
  <si>
    <r>
      <t>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</t>
    </r>
  </si>
  <si>
    <t>January-March</t>
  </si>
  <si>
    <t>合    计</t>
  </si>
  <si>
    <t>利  润  表</t>
  </si>
  <si>
    <r>
      <t>制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造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费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明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细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</si>
  <si>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t>营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业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费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明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细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</si>
  <si>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t>管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理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明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细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表</t>
    </r>
  </si>
  <si>
    <t>房地产开发有限公司</t>
  </si>
  <si>
    <t>编制单位:房地产开发有限公司</t>
  </si>
  <si>
    <t>编制单位:房地产开发有限公司</t>
  </si>
  <si>
    <t>房地产开发有限公司</t>
  </si>
</sst>
</file>

<file path=xl/styles.xml><?xml version="1.0" encoding="utf-8"?>
<styleSheet xmlns="http://schemas.openxmlformats.org/spreadsheetml/2006/main">
  <numFmts count="5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* #,##0_ ;_ * \-#,##0_ ;_ * &quot;-&quot;??_ ;_ @_ "/>
    <numFmt numFmtId="185" formatCode="mmm/yyyy"/>
    <numFmt numFmtId="186" formatCode="mm/dd/yy"/>
    <numFmt numFmtId="187" formatCode="yy/m/d"/>
    <numFmt numFmtId="188" formatCode="[DBNum1][$-804]yyyy&quot;年&quot;m&quot;月&quot;d&quot;日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0_);[Red]\(0\)"/>
    <numFmt numFmtId="195" formatCode="[DBNum1][$-804]yyyy&quot;年&quot;m&quot;月&quot;"/>
    <numFmt numFmtId="196" formatCode="0.00_ "/>
    <numFmt numFmtId="197" formatCode="_(* #,##0.00_);_(* \(#,##0.00\);_(* &quot;-&quot;??_);_(@_)"/>
    <numFmt numFmtId="198" formatCode="000000"/>
    <numFmt numFmtId="199" formatCode="0.0%"/>
    <numFmt numFmtId="200" formatCode="0.0000"/>
    <numFmt numFmtId="201" formatCode="0.000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_(* #,##0_);_(* \(#,##0\);_(* &quot;-&quot;_);_(@_)"/>
    <numFmt numFmtId="208" formatCode="#,##0.00_ "/>
    <numFmt numFmtId="209" formatCode="_(* #,##0_);_(* \(#,##0\);_(* &quot;-&quot;??_);_(@_)"/>
    <numFmt numFmtId="210" formatCode="#,##0.00_);[Red]\(#,##0.00\)"/>
    <numFmt numFmtId="211" formatCode="yyyy&quot;年&quot;m&quot;月&quot;;@"/>
    <numFmt numFmtId="212" formatCode="[$-F800]dddd\,\ mmmm\ dd\,\ yyyy"/>
    <numFmt numFmtId="213" formatCode="&quot;￥&quot;#,##0.00_);[Red]\(&quot;￥&quot;#,##0.00\)"/>
    <numFmt numFmtId="214" formatCode="_ * #,##0.000_ ;_ * \-#,##0.000_ ;_ * &quot;-&quot;???_ ;_ @_ "/>
    <numFmt numFmtId="215" formatCode="#,##0.0_ "/>
    <numFmt numFmtId="216" formatCode="#,##0_ "/>
    <numFmt numFmtId="217" formatCode="上午/下午"/>
    <numFmt numFmtId="218" formatCode="上午/下午hh:mm:ss\ AM/PM"/>
    <numFmt numFmtId="219" formatCode="上午/下午hh:mm:ss\ "/>
    <numFmt numFmtId="220" formatCode="&quot;现&quot;&quot;在&quot;&quot;是&quot;上午/下午hh:mm:ss\ "/>
    <numFmt numFmtId="221" formatCode="&quot;现&quot;&quot;在&quot;&quot;是&quot;上午/下午hh&quot;时&quot;mm&quot;分&quot;ss&quot;秒&quot;\ "/>
  </numFmts>
  <fonts count="101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12"/>
      <name val="宋体"/>
      <family val="0"/>
    </font>
    <font>
      <b/>
      <sz val="18"/>
      <name val="宋体"/>
      <family val="0"/>
    </font>
    <font>
      <sz val="10"/>
      <color indexed="9"/>
      <name val="宋体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57"/>
      <name val="Times New Roman"/>
      <family val="1"/>
    </font>
    <font>
      <b/>
      <sz val="18"/>
      <color indexed="9"/>
      <name val="宋体"/>
      <family val="0"/>
    </font>
    <font>
      <sz val="9"/>
      <name val="Times New Roman"/>
      <family val="1"/>
    </font>
    <font>
      <sz val="10"/>
      <name val="Arial"/>
      <family val="2"/>
    </font>
    <font>
      <sz val="10"/>
      <color indexed="16"/>
      <name val="宋体"/>
      <family val="0"/>
    </font>
    <font>
      <sz val="10"/>
      <color indexed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  <font>
      <sz val="10"/>
      <color indexed="18"/>
      <name val="Times New Roman"/>
      <family val="1"/>
    </font>
    <font>
      <sz val="8"/>
      <name val="宋体"/>
      <family val="0"/>
    </font>
    <font>
      <u val="single"/>
      <sz val="7.5"/>
      <color indexed="12"/>
      <name val="Arial"/>
      <family val="2"/>
    </font>
    <font>
      <b/>
      <sz val="12"/>
      <color indexed="10"/>
      <name val="宋体"/>
      <family val="0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宋体"/>
      <family val="0"/>
    </font>
    <font>
      <sz val="7"/>
      <color indexed="18"/>
      <name val="Times New Roman"/>
      <family val="1"/>
    </font>
    <font>
      <sz val="12"/>
      <color indexed="62"/>
      <name val="宋体"/>
      <family val="0"/>
    </font>
    <font>
      <sz val="8"/>
      <color indexed="10"/>
      <name val="Times New Roman"/>
      <family val="1"/>
    </font>
    <font>
      <sz val="12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10"/>
      <name val="宋体"/>
      <family val="0"/>
    </font>
    <font>
      <sz val="12"/>
      <name val="华文行楷"/>
      <family val="0"/>
    </font>
    <font>
      <b/>
      <sz val="10"/>
      <color indexed="10"/>
      <name val="宋体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宋体"/>
      <family val="0"/>
    </font>
    <font>
      <b/>
      <sz val="11"/>
      <name val="宋体"/>
      <family val="0"/>
    </font>
    <font>
      <b/>
      <sz val="14"/>
      <color indexed="10"/>
      <name val="Times New Roman"/>
      <family val="1"/>
    </font>
    <font>
      <b/>
      <sz val="12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9"/>
      <name val="宋体"/>
      <family val="0"/>
    </font>
    <font>
      <sz val="9"/>
      <color indexed="9"/>
      <name val="宋体"/>
      <family val="0"/>
    </font>
    <font>
      <sz val="16"/>
      <name val="华文行楷"/>
      <family val="0"/>
    </font>
    <font>
      <sz val="18"/>
      <color indexed="10"/>
      <name val="Times New Roman"/>
      <family val="1"/>
    </font>
    <font>
      <sz val="18"/>
      <color indexed="10"/>
      <name val="宋体"/>
      <family val="0"/>
    </font>
    <font>
      <sz val="18"/>
      <name val="宋体"/>
      <family val="0"/>
    </font>
    <font>
      <sz val="16"/>
      <color indexed="18"/>
      <name val="Times New Roman"/>
      <family val="1"/>
    </font>
    <font>
      <sz val="16"/>
      <name val="Times New Roman"/>
      <family val="1"/>
    </font>
    <font>
      <b/>
      <sz val="10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10"/>
      <name val="宋体"/>
      <family val="0"/>
    </font>
    <font>
      <sz val="12"/>
      <color indexed="18"/>
      <name val="Times New Roman"/>
      <family val="1"/>
    </font>
    <font>
      <sz val="14"/>
      <name val="宋体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宋体"/>
      <family val="0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6"/>
      <color indexed="10"/>
      <name val="宋体"/>
      <family val="0"/>
    </font>
    <font>
      <b/>
      <sz val="12"/>
      <color indexed="10"/>
      <name val="Arial"/>
      <family val="2"/>
    </font>
    <font>
      <b/>
      <sz val="12"/>
      <color indexed="12"/>
      <name val="宋体"/>
      <family val="0"/>
    </font>
    <font>
      <sz val="9"/>
      <color indexed="12"/>
      <name val="宋体"/>
      <family val="0"/>
    </font>
    <font>
      <b/>
      <sz val="9"/>
      <color indexed="12"/>
      <name val="宋体"/>
      <family val="0"/>
    </font>
    <font>
      <sz val="12"/>
      <color indexed="18"/>
      <name val="宋体"/>
      <family val="0"/>
    </font>
    <font>
      <sz val="16"/>
      <color indexed="10"/>
      <name val="Times New Roman"/>
      <family val="1"/>
    </font>
    <font>
      <sz val="14"/>
      <color indexed="18"/>
      <name val="Times New Roman"/>
      <family val="1"/>
    </font>
    <font>
      <b/>
      <sz val="11"/>
      <color indexed="16"/>
      <name val="宋体"/>
      <family val="0"/>
    </font>
    <font>
      <b/>
      <sz val="11"/>
      <color indexed="16"/>
      <name val="Times New Roman"/>
      <family val="1"/>
    </font>
    <font>
      <sz val="12"/>
      <name val="隶书"/>
      <family val="3"/>
    </font>
    <font>
      <sz val="10.5"/>
      <name val="宋体"/>
      <family val="0"/>
    </font>
    <font>
      <sz val="16"/>
      <name val="宋体"/>
      <family val="0"/>
    </font>
    <font>
      <sz val="10.5"/>
      <color indexed="12"/>
      <name val="宋体"/>
      <family val="0"/>
    </font>
    <font>
      <sz val="9"/>
      <color indexed="9"/>
      <name val="Times New Roman"/>
      <family val="1"/>
    </font>
    <font>
      <sz val="10.5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color indexed="53"/>
      <name val="Times New Roman"/>
      <family val="1"/>
    </font>
    <font>
      <b/>
      <sz val="18"/>
      <name val="Times New Roman"/>
      <family val="1"/>
    </font>
    <font>
      <b/>
      <sz val="10.5"/>
      <name val="Times New Roman"/>
      <family val="1"/>
    </font>
    <font>
      <b/>
      <sz val="10.5"/>
      <name val="宋体"/>
      <family val="0"/>
    </font>
    <font>
      <b/>
      <sz val="16"/>
      <color indexed="9"/>
      <name val="宋体"/>
      <family val="0"/>
    </font>
    <font>
      <b/>
      <sz val="14"/>
      <color indexed="53"/>
      <name val="Times New Roman"/>
      <family val="1"/>
    </font>
    <font>
      <sz val="10"/>
      <color indexed="53"/>
      <name val="宋体"/>
      <family val="0"/>
    </font>
    <font>
      <sz val="18"/>
      <name val="华文琥珀"/>
      <family val="0"/>
    </font>
    <font>
      <b/>
      <sz val="12"/>
      <color indexed="57"/>
      <name val="华文彩云"/>
      <family val="0"/>
    </font>
    <font>
      <b/>
      <sz val="10"/>
      <color indexed="60"/>
      <name val="宋体"/>
      <family val="0"/>
    </font>
    <font>
      <sz val="12"/>
      <color indexed="53"/>
      <name val="文鼎齿轮体"/>
      <family val="2"/>
    </font>
    <font>
      <sz val="12"/>
      <name val="文鼎齿轮体"/>
      <family val="2"/>
    </font>
    <font>
      <b/>
      <sz val="12"/>
      <color indexed="57"/>
      <name val="华文楷体"/>
      <family val="0"/>
    </font>
    <font>
      <sz val="10.5"/>
      <color indexed="9"/>
      <name val="宋体"/>
      <family val="0"/>
    </font>
    <font>
      <sz val="12"/>
      <color indexed="9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sz val="12"/>
      <color indexed="17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medium"/>
      <top style="medium"/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double">
        <color indexed="10"/>
      </right>
      <top style="hair">
        <color indexed="10"/>
      </top>
      <bottom style="hair"/>
    </border>
    <border>
      <left>
        <color indexed="63"/>
      </left>
      <right style="double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hair"/>
      <bottom style="medium"/>
    </border>
    <border>
      <left>
        <color indexed="63"/>
      </left>
      <right style="double"/>
      <top style="thick"/>
      <bottom>
        <color indexed="63"/>
      </bottom>
    </border>
    <border>
      <left style="hair"/>
      <right style="thick"/>
      <top style="thick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ck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thick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double"/>
      <top style="hair"/>
      <bottom style="thick"/>
    </border>
    <border>
      <left style="double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hair"/>
      <bottom style="thick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 style="hair"/>
      <right style="thick"/>
      <top style="medium"/>
      <bottom>
        <color indexed="63"/>
      </bottom>
    </border>
    <border>
      <left style="hair"/>
      <right style="thick"/>
      <top>
        <color indexed="63"/>
      </top>
      <bottom style="double"/>
    </border>
    <border>
      <left style="hair"/>
      <right style="medium"/>
      <top style="thick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ck"/>
      <right style="hair"/>
      <top style="double"/>
      <bottom style="hair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 style="medium"/>
      <bottom>
        <color indexed="63"/>
      </bottom>
    </border>
    <border>
      <left style="double"/>
      <right style="hair">
        <color indexed="9"/>
      </right>
      <top style="medium"/>
      <bottom>
        <color indexed="63"/>
      </bottom>
    </border>
    <border>
      <left style="hair">
        <color indexed="9"/>
      </left>
      <right style="hair">
        <color indexed="9"/>
      </right>
      <top style="medium"/>
      <bottom>
        <color indexed="63"/>
      </bottom>
    </border>
    <border>
      <left style="hair">
        <color indexed="9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hair">
        <color indexed="9"/>
      </right>
      <top>
        <color indexed="63"/>
      </top>
      <bottom style="double"/>
    </border>
    <border>
      <left style="hair">
        <color indexed="9"/>
      </left>
      <right style="hair">
        <color indexed="9"/>
      </right>
      <top>
        <color indexed="63"/>
      </top>
      <bottom style="double"/>
    </border>
    <border>
      <left style="hair">
        <color indexed="9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hair"/>
      <top style="double"/>
      <bottom style="hair"/>
    </border>
    <border>
      <left style="thin"/>
      <right style="double"/>
      <top style="hair"/>
      <bottom style="hair"/>
    </border>
    <border>
      <left style="double"/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medium"/>
      <top style="hair"/>
      <bottom style="hair"/>
    </border>
    <border>
      <left style="thin"/>
      <right style="double"/>
      <top style="hair"/>
      <bottom style="medium"/>
    </border>
    <border>
      <left style="double"/>
      <right style="thin">
        <color indexed="9"/>
      </right>
      <top style="hair"/>
      <bottom style="medium"/>
    </border>
    <border>
      <left style="thin">
        <color indexed="9"/>
      </left>
      <right style="thin">
        <color indexed="9"/>
      </right>
      <top style="hair"/>
      <bottom style="medium"/>
    </border>
    <border>
      <left style="thin">
        <color indexed="9"/>
      </left>
      <right style="medium"/>
      <top style="hair"/>
      <bottom style="medium"/>
    </border>
    <border>
      <left style="double"/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double"/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medium"/>
      <top>
        <color indexed="63"/>
      </top>
      <bottom style="double"/>
    </border>
    <border>
      <left style="double"/>
      <right style="thin">
        <color indexed="49"/>
      </right>
      <top style="hair"/>
      <bottom style="hair"/>
    </border>
    <border>
      <left style="thin">
        <color indexed="49"/>
      </left>
      <right style="thin">
        <color indexed="49"/>
      </right>
      <top style="hair"/>
      <bottom style="hair"/>
    </border>
    <border>
      <left style="thin">
        <color indexed="49"/>
      </left>
      <right style="medium"/>
      <top style="hair"/>
      <bottom style="hair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hair"/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thick"/>
      <right>
        <color indexed="63"/>
      </right>
      <top style="hair"/>
      <bottom style="thick"/>
    </border>
    <border>
      <left style="thin"/>
      <right>
        <color indexed="63"/>
      </right>
      <top style="hair"/>
      <bottom style="thick"/>
    </border>
    <border>
      <left style="medium"/>
      <right style="thin"/>
      <top style="hair">
        <color indexed="10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double"/>
      <right style="hair"/>
      <top style="double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/>
      <right style="medium"/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hair"/>
      <bottom style="hair"/>
    </border>
    <border>
      <left style="double">
        <color indexed="10"/>
      </left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hair"/>
      <bottom style="medium"/>
    </border>
    <border>
      <left>
        <color indexed="63"/>
      </left>
      <right style="double">
        <color indexed="10"/>
      </right>
      <top>
        <color indexed="63"/>
      </top>
      <bottom style="medium"/>
    </border>
    <border>
      <left style="double">
        <color indexed="10"/>
      </left>
      <right style="double">
        <color indexed="10"/>
      </right>
      <top style="hair"/>
      <bottom style="medium"/>
    </border>
    <border>
      <left style="double">
        <color indexed="10"/>
      </left>
      <right style="medium"/>
      <top style="hair"/>
      <bottom style="medium"/>
    </border>
    <border>
      <left style="thin"/>
      <right>
        <color indexed="63"/>
      </right>
      <top style="hair">
        <color indexed="10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hair"/>
      <right style="medium"/>
      <top style="thick"/>
      <bottom style="hair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13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0" fillId="2" borderId="0" xfId="0" applyFill="1" applyBorder="1" applyAlignment="1">
      <alignment/>
    </xf>
    <xf numFmtId="183" fontId="3" fillId="0" borderId="1" xfId="23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4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83" fontId="3" fillId="0" borderId="22" xfId="23" applyFont="1" applyBorder="1" applyAlignment="1">
      <alignment/>
    </xf>
    <xf numFmtId="183" fontId="3" fillId="0" borderId="23" xfId="23" applyFont="1" applyBorder="1" applyAlignment="1">
      <alignment/>
    </xf>
    <xf numFmtId="183" fontId="3" fillId="0" borderId="24" xfId="23" applyFont="1" applyBorder="1" applyAlignment="1">
      <alignment/>
    </xf>
    <xf numFmtId="183" fontId="3" fillId="0" borderId="24" xfId="0" applyNumberFormat="1" applyFont="1" applyBorder="1" applyAlignment="1">
      <alignment/>
    </xf>
    <xf numFmtId="183" fontId="3" fillId="0" borderId="25" xfId="23" applyFont="1" applyBorder="1" applyAlignment="1">
      <alignment/>
    </xf>
    <xf numFmtId="183" fontId="3" fillId="0" borderId="26" xfId="23" applyFont="1" applyBorder="1" applyAlignment="1">
      <alignment/>
    </xf>
    <xf numFmtId="0" fontId="21" fillId="2" borderId="27" xfId="0" applyFont="1" applyFill="1" applyBorder="1" applyAlignment="1">
      <alignment horizontal="center" vertical="center"/>
    </xf>
    <xf numFmtId="183" fontId="3" fillId="0" borderId="28" xfId="23" applyFont="1" applyBorder="1" applyAlignment="1">
      <alignment/>
    </xf>
    <xf numFmtId="183" fontId="3" fillId="0" borderId="29" xfId="23" applyFont="1" applyBorder="1" applyAlignment="1">
      <alignment/>
    </xf>
    <xf numFmtId="0" fontId="3" fillId="2" borderId="0" xfId="0" applyFont="1" applyFill="1" applyAlignment="1">
      <alignment/>
    </xf>
    <xf numFmtId="183" fontId="3" fillId="0" borderId="29" xfId="0" applyNumberFormat="1" applyFont="1" applyBorder="1" applyAlignment="1">
      <alignment/>
    </xf>
    <xf numFmtId="183" fontId="3" fillId="0" borderId="30" xfId="23" applyFont="1" applyBorder="1" applyAlignment="1">
      <alignment/>
    </xf>
    <xf numFmtId="0" fontId="26" fillId="2" borderId="27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/>
    </xf>
    <xf numFmtId="0" fontId="26" fillId="2" borderId="27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7" fillId="2" borderId="27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/>
    </xf>
    <xf numFmtId="0" fontId="26" fillId="2" borderId="31" xfId="0" applyFont="1" applyFill="1" applyBorder="1" applyAlignment="1">
      <alignment horizontal="center" vertical="center"/>
    </xf>
    <xf numFmtId="183" fontId="3" fillId="3" borderId="28" xfId="23" applyFont="1" applyFill="1" applyBorder="1" applyAlignment="1">
      <alignment/>
    </xf>
    <xf numFmtId="183" fontId="3" fillId="3" borderId="1" xfId="23" applyFont="1" applyFill="1" applyBorder="1" applyAlignment="1">
      <alignment/>
    </xf>
    <xf numFmtId="183" fontId="3" fillId="3" borderId="29" xfId="23" applyFont="1" applyFill="1" applyBorder="1" applyAlignment="1">
      <alignment/>
    </xf>
    <xf numFmtId="0" fontId="4" fillId="2" borderId="27" xfId="0" applyFont="1" applyFill="1" applyBorder="1" applyAlignment="1">
      <alignment horizontal="center" vertical="center"/>
    </xf>
    <xf numFmtId="183" fontId="3" fillId="2" borderId="29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21" fillId="2" borderId="32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5" fillId="2" borderId="2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left" vertical="center"/>
    </xf>
    <xf numFmtId="0" fontId="26" fillId="2" borderId="34" xfId="0" applyFont="1" applyFill="1" applyBorder="1" applyAlignment="1">
      <alignment horizontal="center" vertical="center"/>
    </xf>
    <xf numFmtId="183" fontId="3" fillId="0" borderId="35" xfId="23" applyFont="1" applyBorder="1" applyAlignment="1">
      <alignment/>
    </xf>
    <xf numFmtId="0" fontId="3" fillId="2" borderId="36" xfId="0" applyFont="1" applyFill="1" applyBorder="1" applyAlignment="1">
      <alignment/>
    </xf>
    <xf numFmtId="18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/>
    </xf>
    <xf numFmtId="183" fontId="3" fillId="0" borderId="37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0" fontId="0" fillId="2" borderId="0" xfId="0" applyFill="1" applyAlignment="1">
      <alignment horizontal="centerContinuous"/>
    </xf>
    <xf numFmtId="0" fontId="29" fillId="2" borderId="0" xfId="0" applyNumberFormat="1" applyFont="1" applyFill="1" applyAlignment="1">
      <alignment horizontal="centerContinuous"/>
    </xf>
    <xf numFmtId="195" fontId="0" fillId="2" borderId="0" xfId="0" applyNumberFormat="1" applyFill="1" applyAlignment="1">
      <alignment horizontal="centerContinuous"/>
    </xf>
    <xf numFmtId="183" fontId="3" fillId="2" borderId="0" xfId="23" applyFont="1" applyFill="1" applyBorder="1" applyAlignment="1">
      <alignment horizontal="left"/>
    </xf>
    <xf numFmtId="0" fontId="30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top"/>
    </xf>
    <xf numFmtId="0" fontId="31" fillId="2" borderId="0" xfId="0" applyFont="1" applyFill="1" applyAlignment="1">
      <alignment horizontal="centerContinuous"/>
    </xf>
    <xf numFmtId="0" fontId="0" fillId="2" borderId="0" xfId="0" applyFill="1" applyBorder="1" applyAlignment="1">
      <alignment horizontal="left"/>
    </xf>
    <xf numFmtId="0" fontId="32" fillId="2" borderId="0" xfId="0" applyFont="1" applyFill="1" applyAlignment="1">
      <alignment horizontal="centerContinuous"/>
    </xf>
    <xf numFmtId="0" fontId="33" fillId="2" borderId="0" xfId="0" applyFont="1" applyFill="1" applyAlignment="1">
      <alignment horizontal="centerContinuous" vertical="center"/>
    </xf>
    <xf numFmtId="195" fontId="3" fillId="2" borderId="38" xfId="23" applyNumberFormat="1" applyFont="1" applyFill="1" applyBorder="1" applyAlignment="1">
      <alignment horizontal="centerContinuous" vertical="center"/>
    </xf>
    <xf numFmtId="195" fontId="0" fillId="2" borderId="0" xfId="0" applyNumberFormat="1" applyFill="1" applyAlignment="1">
      <alignment horizontal="centerContinuous" vertical="center"/>
    </xf>
    <xf numFmtId="0" fontId="0" fillId="2" borderId="0" xfId="0" applyNumberFormat="1" applyFill="1" applyAlignment="1">
      <alignment/>
    </xf>
    <xf numFmtId="183" fontId="3" fillId="2" borderId="38" xfId="23" applyFont="1" applyFill="1" applyBorder="1" applyAlignment="1">
      <alignment horizontal="left"/>
    </xf>
    <xf numFmtId="0" fontId="21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5" fillId="4" borderId="44" xfId="0" applyFont="1" applyFill="1" applyBorder="1" applyAlignment="1">
      <alignment horizontal="center" vertical="center"/>
    </xf>
    <xf numFmtId="0" fontId="23" fillId="5" borderId="44" xfId="0" applyNumberFormat="1" applyFont="1" applyFill="1" applyBorder="1" applyAlignment="1">
      <alignment horizontal="center"/>
    </xf>
    <xf numFmtId="0" fontId="21" fillId="6" borderId="45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48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48" xfId="0" applyFont="1" applyFill="1" applyBorder="1" applyAlignment="1">
      <alignment horizontal="center" vertical="center"/>
    </xf>
    <xf numFmtId="0" fontId="3" fillId="2" borderId="33" xfId="16" applyFont="1" applyFill="1" applyBorder="1" applyAlignment="1">
      <alignment horizontal="left"/>
      <protection/>
    </xf>
    <xf numFmtId="0" fontId="25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/>
    </xf>
    <xf numFmtId="0" fontId="3" fillId="2" borderId="33" xfId="16" applyFont="1" applyFill="1" applyBorder="1">
      <alignment/>
      <protection/>
    </xf>
    <xf numFmtId="0" fontId="4" fillId="2" borderId="48" xfId="0" applyFont="1" applyFill="1" applyBorder="1" applyAlignment="1">
      <alignment horizontal="center"/>
    </xf>
    <xf numFmtId="0" fontId="25" fillId="2" borderId="48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188" fontId="3" fillId="2" borderId="0" xfId="0" applyNumberFormat="1" applyFont="1" applyFill="1" applyAlignment="1">
      <alignment horizontal="centerContinuous" vertical="center"/>
    </xf>
    <xf numFmtId="0" fontId="4" fillId="3" borderId="0" xfId="0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2" borderId="49" xfId="0" applyFill="1" applyBorder="1" applyAlignment="1">
      <alignment/>
    </xf>
    <xf numFmtId="0" fontId="32" fillId="2" borderId="0" xfId="0" applyFont="1" applyFill="1" applyAlignment="1">
      <alignment/>
    </xf>
    <xf numFmtId="0" fontId="0" fillId="2" borderId="50" xfId="0" applyFill="1" applyBorder="1" applyAlignment="1">
      <alignment/>
    </xf>
    <xf numFmtId="0" fontId="0" fillId="2" borderId="51" xfId="0" applyFill="1" applyBorder="1" applyAlignment="1">
      <alignment/>
    </xf>
    <xf numFmtId="49" fontId="0" fillId="0" borderId="0" xfId="0" applyNumberFormat="1" applyAlignment="1">
      <alignment/>
    </xf>
    <xf numFmtId="183" fontId="3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183" fontId="3" fillId="2" borderId="0" xfId="23" applyFont="1" applyFill="1" applyAlignment="1">
      <alignment/>
    </xf>
    <xf numFmtId="0" fontId="3" fillId="2" borderId="33" xfId="0" applyFont="1" applyFill="1" applyBorder="1" applyAlignment="1">
      <alignment horizontal="left"/>
    </xf>
    <xf numFmtId="0" fontId="20" fillId="2" borderId="0" xfId="0" applyFont="1" applyFill="1" applyAlignment="1">
      <alignment horizontal="centerContinuous" vertical="top"/>
    </xf>
    <xf numFmtId="0" fontId="0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left"/>
    </xf>
    <xf numFmtId="0" fontId="13" fillId="2" borderId="0" xfId="16" applyFill="1" applyAlignment="1">
      <alignment horizontal="centerContinuous"/>
      <protection/>
    </xf>
    <xf numFmtId="0" fontId="13" fillId="2" borderId="0" xfId="16" applyFill="1">
      <alignment/>
      <protection/>
    </xf>
    <xf numFmtId="196" fontId="13" fillId="2" borderId="0" xfId="16" applyNumberFormat="1" applyFill="1" applyAlignment="1">
      <alignment horizontal="left" vertical="center"/>
      <protection/>
    </xf>
    <xf numFmtId="196" fontId="50" fillId="2" borderId="0" xfId="16" applyNumberFormat="1" applyFont="1" applyFill="1" applyAlignment="1">
      <alignment horizontal="centerContinuous"/>
      <protection/>
    </xf>
    <xf numFmtId="0" fontId="51" fillId="2" borderId="0" xfId="16" applyFont="1" applyFill="1">
      <alignment/>
      <protection/>
    </xf>
    <xf numFmtId="196" fontId="13" fillId="2" borderId="0" xfId="16" applyNumberFormat="1" applyFill="1" applyAlignment="1">
      <alignment horizontal="right"/>
      <protection/>
    </xf>
    <xf numFmtId="196" fontId="3" fillId="2" borderId="0" xfId="16" applyNumberFormat="1" applyFont="1" applyFill="1" applyAlignment="1">
      <alignment horizontal="left"/>
      <protection/>
    </xf>
    <xf numFmtId="0" fontId="13" fillId="2" borderId="0" xfId="16" applyFont="1" applyFill="1">
      <alignment/>
      <protection/>
    </xf>
    <xf numFmtId="195" fontId="12" fillId="2" borderId="0" xfId="15" applyNumberFormat="1" applyFont="1" applyFill="1" applyBorder="1" applyAlignment="1">
      <alignment horizontal="center"/>
    </xf>
    <xf numFmtId="0" fontId="53" fillId="2" borderId="0" xfId="16" applyFont="1" applyFill="1" applyAlignment="1">
      <alignment horizontal="left"/>
      <protection/>
    </xf>
    <xf numFmtId="0" fontId="13" fillId="2" borderId="0" xfId="16" applyNumberFormat="1" applyFill="1">
      <alignment/>
      <protection/>
    </xf>
    <xf numFmtId="0" fontId="37" fillId="2" borderId="0" xfId="16" applyNumberFormat="1" applyFont="1" applyFill="1" applyAlignment="1">
      <alignment horizontal="center"/>
      <protection/>
    </xf>
    <xf numFmtId="0" fontId="38" fillId="2" borderId="0" xfId="15" applyNumberFormat="1" applyFont="1" applyFill="1" applyBorder="1" applyAlignment="1">
      <alignment horizontal="center"/>
    </xf>
    <xf numFmtId="0" fontId="54" fillId="2" borderId="0" xfId="16" applyNumberFormat="1" applyFont="1" applyFill="1" applyAlignment="1">
      <alignment horizontal="center"/>
      <protection/>
    </xf>
    <xf numFmtId="0" fontId="38" fillId="2" borderId="0" xfId="17" applyNumberFormat="1" applyFont="1" applyFill="1" applyAlignment="1">
      <alignment horizontal="center"/>
      <protection/>
    </xf>
    <xf numFmtId="0" fontId="37" fillId="0" borderId="0" xfId="0" applyNumberFormat="1" applyFont="1" applyAlignment="1">
      <alignment horizontal="center"/>
    </xf>
    <xf numFmtId="57" fontId="1" fillId="0" borderId="52" xfId="0" applyNumberFormat="1" applyFont="1" applyBorder="1" applyAlignment="1">
      <alignment horizontal="center" vertical="center"/>
    </xf>
    <xf numFmtId="57" fontId="1" fillId="0" borderId="53" xfId="0" applyNumberFormat="1" applyFont="1" applyBorder="1" applyAlignment="1">
      <alignment horizontal="center" vertical="center"/>
    </xf>
    <xf numFmtId="197" fontId="1" fillId="3" borderId="51" xfId="15" applyFont="1" applyFill="1" applyBorder="1" applyAlignment="1">
      <alignment/>
    </xf>
    <xf numFmtId="197" fontId="1" fillId="3" borderId="1" xfId="15" applyFont="1" applyFill="1" applyBorder="1" applyAlignment="1">
      <alignment/>
    </xf>
    <xf numFmtId="197" fontId="1" fillId="3" borderId="29" xfId="15" applyFont="1" applyFill="1" applyBorder="1" applyAlignment="1">
      <alignment/>
    </xf>
    <xf numFmtId="197" fontId="1" fillId="0" borderId="1" xfId="15" applyFont="1" applyFill="1" applyBorder="1" applyAlignment="1">
      <alignment/>
    </xf>
    <xf numFmtId="197" fontId="1" fillId="0" borderId="29" xfId="15" applyFont="1" applyFill="1" applyBorder="1" applyAlignment="1">
      <alignment/>
    </xf>
    <xf numFmtId="197" fontId="0" fillId="0" borderId="0" xfId="0" applyNumberFormat="1" applyAlignment="1">
      <alignment/>
    </xf>
    <xf numFmtId="0" fontId="1" fillId="2" borderId="53" xfId="0" applyFont="1" applyFill="1" applyBorder="1" applyAlignment="1">
      <alignment horizontal="center" vertical="center"/>
    </xf>
    <xf numFmtId="0" fontId="26" fillId="0" borderId="51" xfId="16" applyFont="1" applyBorder="1" applyAlignment="1">
      <alignment horizontal="center"/>
      <protection/>
    </xf>
    <xf numFmtId="183" fontId="1" fillId="0" borderId="54" xfId="23" applyFont="1" applyFill="1" applyBorder="1" applyAlignment="1">
      <alignment/>
    </xf>
    <xf numFmtId="183" fontId="1" fillId="0" borderId="1" xfId="23" applyFont="1" applyFill="1" applyBorder="1" applyAlignment="1">
      <alignment/>
    </xf>
    <xf numFmtId="183" fontId="1" fillId="0" borderId="29" xfId="23" applyFont="1" applyFill="1" applyBorder="1" applyAlignment="1">
      <alignment/>
    </xf>
    <xf numFmtId="0" fontId="26" fillId="2" borderId="51" xfId="16" applyFont="1" applyFill="1" applyBorder="1" applyAlignment="1">
      <alignment horizontal="center"/>
      <protection/>
    </xf>
    <xf numFmtId="183" fontId="1" fillId="2" borderId="54" xfId="16" applyNumberFormat="1" applyFont="1" applyFill="1" applyBorder="1">
      <alignment/>
      <protection/>
    </xf>
    <xf numFmtId="183" fontId="1" fillId="2" borderId="1" xfId="16" applyNumberFormat="1" applyFont="1" applyFill="1" applyBorder="1">
      <alignment/>
      <protection/>
    </xf>
    <xf numFmtId="183" fontId="1" fillId="2" borderId="29" xfId="16" applyNumberFormat="1" applyFont="1" applyFill="1" applyBorder="1">
      <alignment/>
      <protection/>
    </xf>
    <xf numFmtId="197" fontId="1" fillId="0" borderId="54" xfId="15" applyFont="1" applyFill="1" applyBorder="1" applyAlignment="1">
      <alignment/>
    </xf>
    <xf numFmtId="183" fontId="3" fillId="2" borderId="1" xfId="16" applyNumberFormat="1" applyFont="1" applyFill="1" applyBorder="1" applyAlignment="1">
      <alignment horizontal="center"/>
      <protection/>
    </xf>
    <xf numFmtId="183" fontId="3" fillId="2" borderId="29" xfId="16" applyNumberFormat="1" applyFont="1" applyFill="1" applyBorder="1" applyAlignment="1">
      <alignment horizontal="center"/>
      <protection/>
    </xf>
    <xf numFmtId="197" fontId="1" fillId="2" borderId="54" xfId="15" applyFont="1" applyFill="1" applyBorder="1" applyAlignment="1">
      <alignment/>
    </xf>
    <xf numFmtId="197" fontId="1" fillId="2" borderId="1" xfId="15" applyFont="1" applyFill="1" applyBorder="1" applyAlignment="1">
      <alignment/>
    </xf>
    <xf numFmtId="197" fontId="1" fillId="2" borderId="29" xfId="15" applyFont="1" applyFill="1" applyBorder="1" applyAlignment="1">
      <alignment/>
    </xf>
    <xf numFmtId="0" fontId="26" fillId="0" borderId="51" xfId="0" applyFont="1" applyBorder="1" applyAlignment="1">
      <alignment horizontal="center"/>
    </xf>
    <xf numFmtId="197" fontId="21" fillId="0" borderId="0" xfId="0" applyNumberFormat="1" applyFont="1" applyAlignment="1">
      <alignment/>
    </xf>
    <xf numFmtId="197" fontId="1" fillId="2" borderId="51" xfId="15" applyFont="1" applyFill="1" applyBorder="1" applyAlignment="1">
      <alignment/>
    </xf>
    <xf numFmtId="197" fontId="1" fillId="3" borderId="54" xfId="15" applyFont="1" applyFill="1" applyBorder="1" applyAlignment="1">
      <alignment/>
    </xf>
    <xf numFmtId="183" fontId="1" fillId="3" borderId="29" xfId="23" applyFont="1" applyFill="1" applyBorder="1" applyAlignment="1">
      <alignment/>
    </xf>
    <xf numFmtId="183" fontId="1" fillId="2" borderId="29" xfId="23" applyFont="1" applyFill="1" applyBorder="1" applyAlignment="1">
      <alignment/>
    </xf>
    <xf numFmtId="0" fontId="56" fillId="2" borderId="0" xfId="0" applyFont="1" applyFill="1" applyAlignment="1">
      <alignment horizontal="centerContinuous"/>
    </xf>
    <xf numFmtId="0" fontId="57" fillId="0" borderId="0" xfId="0" applyFont="1" applyAlignment="1">
      <alignment horizontal="left"/>
    </xf>
    <xf numFmtId="0" fontId="58" fillId="2" borderId="0" xfId="0" applyFont="1" applyFill="1" applyAlignment="1">
      <alignment horizontal="centerContinuous"/>
    </xf>
    <xf numFmtId="0" fontId="38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59" fillId="2" borderId="0" xfId="0" applyNumberFormat="1" applyFont="1" applyFill="1" applyAlignment="1">
      <alignment horizontal="center"/>
    </xf>
    <xf numFmtId="0" fontId="3" fillId="2" borderId="37" xfId="0" applyFont="1" applyFill="1" applyBorder="1" applyAlignment="1">
      <alignment horizontal="center"/>
    </xf>
    <xf numFmtId="57" fontId="4" fillId="2" borderId="55" xfId="0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0" fontId="0" fillId="7" borderId="56" xfId="0" applyFill="1" applyBorder="1" applyAlignment="1">
      <alignment/>
    </xf>
    <xf numFmtId="57" fontId="60" fillId="2" borderId="57" xfId="0" applyNumberFormat="1" applyFont="1" applyFill="1" applyBorder="1" applyAlignment="1">
      <alignment horizontal="center" vertical="center"/>
    </xf>
    <xf numFmtId="57" fontId="4" fillId="2" borderId="57" xfId="0" applyNumberFormat="1" applyFont="1" applyFill="1" applyBorder="1" applyAlignment="1">
      <alignment horizontal="center" vertical="center"/>
    </xf>
    <xf numFmtId="0" fontId="61" fillId="7" borderId="56" xfId="0" applyFont="1" applyFill="1" applyBorder="1" applyAlignment="1">
      <alignment/>
    </xf>
    <xf numFmtId="0" fontId="4" fillId="2" borderId="5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/>
    </xf>
    <xf numFmtId="0" fontId="60" fillId="2" borderId="60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62" fillId="2" borderId="60" xfId="0" applyFont="1" applyFill="1" applyBorder="1" applyAlignment="1">
      <alignment horizontal="center"/>
    </xf>
    <xf numFmtId="0" fontId="5" fillId="7" borderId="56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196" fontId="3" fillId="2" borderId="63" xfId="0" applyNumberFormat="1" applyFont="1" applyFill="1" applyBorder="1" applyAlignment="1">
      <alignment horizontal="center" vertical="center"/>
    </xf>
    <xf numFmtId="196" fontId="3" fillId="2" borderId="5" xfId="0" applyNumberFormat="1" applyFont="1" applyFill="1" applyBorder="1" applyAlignment="1">
      <alignment horizontal="center" vertical="center"/>
    </xf>
    <xf numFmtId="0" fontId="0" fillId="2" borderId="64" xfId="0" applyFill="1" applyBorder="1" applyAlignment="1">
      <alignment/>
    </xf>
    <xf numFmtId="196" fontId="5" fillId="2" borderId="63" xfId="0" applyNumberFormat="1" applyFont="1" applyFill="1" applyBorder="1" applyAlignment="1">
      <alignment horizontal="center" vertical="center"/>
    </xf>
    <xf numFmtId="0" fontId="61" fillId="2" borderId="64" xfId="0" applyFont="1" applyFill="1" applyBorder="1" applyAlignment="1">
      <alignment/>
    </xf>
    <xf numFmtId="0" fontId="3" fillId="2" borderId="65" xfId="0" applyFont="1" applyFill="1" applyBorder="1" applyAlignment="1">
      <alignment/>
    </xf>
    <xf numFmtId="0" fontId="3" fillId="2" borderId="66" xfId="0" applyFont="1" applyFill="1" applyBorder="1" applyAlignment="1">
      <alignment/>
    </xf>
    <xf numFmtId="196" fontId="26" fillId="2" borderId="67" xfId="0" applyNumberFormat="1" applyFont="1" applyFill="1" applyBorder="1" applyAlignment="1">
      <alignment horizontal="center" vertical="center"/>
    </xf>
    <xf numFmtId="196" fontId="26" fillId="2" borderId="14" xfId="0" applyNumberFormat="1" applyFont="1" applyFill="1" applyBorder="1" applyAlignment="1">
      <alignment horizontal="center" vertical="center"/>
    </xf>
    <xf numFmtId="196" fontId="62" fillId="2" borderId="67" xfId="0" applyNumberFormat="1" applyFont="1" applyFill="1" applyBorder="1" applyAlignment="1">
      <alignment horizontal="center" vertical="center"/>
    </xf>
    <xf numFmtId="0" fontId="3" fillId="2" borderId="68" xfId="0" applyFont="1" applyFill="1" applyBorder="1" applyAlignment="1">
      <alignment/>
    </xf>
    <xf numFmtId="183" fontId="3" fillId="0" borderId="69" xfId="23" applyFont="1" applyBorder="1" applyAlignment="1">
      <alignment horizontal="center" vertical="center"/>
    </xf>
    <xf numFmtId="183" fontId="5" fillId="0" borderId="69" xfId="23" applyFont="1" applyBorder="1" applyAlignment="1">
      <alignment horizontal="center" vertical="center"/>
    </xf>
    <xf numFmtId="0" fontId="3" fillId="2" borderId="51" xfId="0" applyFont="1" applyFill="1" applyBorder="1" applyAlignment="1">
      <alignment/>
    </xf>
    <xf numFmtId="183" fontId="3" fillId="0" borderId="70" xfId="23" applyFont="1" applyBorder="1" applyAlignment="1">
      <alignment horizontal="center" vertical="center"/>
    </xf>
    <xf numFmtId="183" fontId="5" fillId="0" borderId="70" xfId="23" applyFont="1" applyBorder="1" applyAlignment="1">
      <alignment horizontal="center" vertical="center"/>
    </xf>
    <xf numFmtId="183" fontId="3" fillId="3" borderId="70" xfId="23" applyFont="1" applyFill="1" applyBorder="1" applyAlignment="1">
      <alignment horizontal="center" vertical="center"/>
    </xf>
    <xf numFmtId="183" fontId="3" fillId="2" borderId="70" xfId="23" applyFont="1" applyFill="1" applyBorder="1" applyAlignment="1">
      <alignment horizontal="center" vertical="center"/>
    </xf>
    <xf numFmtId="0" fontId="3" fillId="2" borderId="49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61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71" xfId="0" applyFill="1" applyBorder="1" applyAlignment="1">
      <alignment/>
    </xf>
    <xf numFmtId="196" fontId="3" fillId="2" borderId="72" xfId="0" applyNumberFormat="1" applyFont="1" applyFill="1" applyBorder="1" applyAlignment="1">
      <alignment horizontal="center" vertical="center"/>
    </xf>
    <xf numFmtId="196" fontId="5" fillId="2" borderId="72" xfId="0" applyNumberFormat="1" applyFont="1" applyFill="1" applyBorder="1" applyAlignment="1">
      <alignment horizontal="center" vertical="center"/>
    </xf>
    <xf numFmtId="0" fontId="61" fillId="7" borderId="0" xfId="0" applyFont="1" applyFill="1" applyAlignment="1">
      <alignment/>
    </xf>
    <xf numFmtId="0" fontId="3" fillId="2" borderId="73" xfId="0" applyFont="1" applyFill="1" applyBorder="1" applyAlignment="1">
      <alignment horizontal="center"/>
    </xf>
    <xf numFmtId="196" fontId="25" fillId="2" borderId="67" xfId="0" applyNumberFormat="1" applyFont="1" applyFill="1" applyBorder="1" applyAlignment="1">
      <alignment horizontal="center" vertical="center"/>
    </xf>
    <xf numFmtId="196" fontId="25" fillId="2" borderId="74" xfId="0" applyNumberFormat="1" applyFont="1" applyFill="1" applyBorder="1" applyAlignment="1">
      <alignment horizontal="center" vertical="center"/>
    </xf>
    <xf numFmtId="196" fontId="63" fillId="2" borderId="74" xfId="0" applyNumberFormat="1" applyFont="1" applyFill="1" applyBorder="1" applyAlignment="1">
      <alignment horizontal="center" vertical="center"/>
    </xf>
    <xf numFmtId="183" fontId="3" fillId="0" borderId="69" xfId="0" applyNumberFormat="1" applyFont="1" applyBorder="1" applyAlignment="1">
      <alignment horizontal="center" vertical="center"/>
    </xf>
    <xf numFmtId="0" fontId="0" fillId="2" borderId="71" xfId="0" applyFill="1" applyBorder="1" applyAlignment="1">
      <alignment/>
    </xf>
    <xf numFmtId="183" fontId="3" fillId="0" borderId="75" xfId="0" applyNumberFormat="1" applyFont="1" applyBorder="1" applyAlignment="1">
      <alignment horizontal="center" vertical="center"/>
    </xf>
    <xf numFmtId="183" fontId="5" fillId="0" borderId="69" xfId="0" applyNumberFormat="1" applyFont="1" applyBorder="1" applyAlignment="1">
      <alignment horizontal="center" vertical="center"/>
    </xf>
    <xf numFmtId="0" fontId="61" fillId="2" borderId="0" xfId="0" applyFont="1" applyFill="1" applyAlignment="1">
      <alignment/>
    </xf>
    <xf numFmtId="183" fontId="3" fillId="0" borderId="70" xfId="0" applyNumberFormat="1" applyFont="1" applyBorder="1" applyAlignment="1">
      <alignment horizontal="center" vertical="center"/>
    </xf>
    <xf numFmtId="183" fontId="5" fillId="0" borderId="70" xfId="0" applyNumberFormat="1" applyFont="1" applyBorder="1" applyAlignment="1">
      <alignment horizontal="center" vertical="center"/>
    </xf>
    <xf numFmtId="183" fontId="3" fillId="0" borderId="76" xfId="0" applyNumberFormat="1" applyFont="1" applyBorder="1" applyAlignment="1">
      <alignment horizontal="center" vertical="center"/>
    </xf>
    <xf numFmtId="183" fontId="5" fillId="0" borderId="76" xfId="0" applyNumberFormat="1" applyFont="1" applyBorder="1" applyAlignment="1">
      <alignment horizontal="center" vertical="center"/>
    </xf>
    <xf numFmtId="183" fontId="5" fillId="0" borderId="76" xfId="23" applyFont="1" applyBorder="1" applyAlignment="1">
      <alignment horizontal="center" vertical="center"/>
    </xf>
    <xf numFmtId="0" fontId="64" fillId="2" borderId="0" xfId="0" applyFont="1" applyFill="1" applyAlignment="1">
      <alignment horizontal="centerContinuous"/>
    </xf>
    <xf numFmtId="0" fontId="28" fillId="2" borderId="0" xfId="0" applyFont="1" applyFill="1" applyAlignment="1">
      <alignment horizontal="centerContinuous"/>
    </xf>
    <xf numFmtId="183" fontId="0" fillId="2" borderId="0" xfId="23" applyFill="1" applyAlignment="1">
      <alignment/>
    </xf>
    <xf numFmtId="0" fontId="23" fillId="2" borderId="0" xfId="16" applyNumberFormat="1" applyFont="1" applyFill="1" applyAlignment="1">
      <alignment horizontal="center"/>
      <protection/>
    </xf>
    <xf numFmtId="0" fontId="24" fillId="2" borderId="0" xfId="15" applyNumberFormat="1" applyFont="1" applyFill="1" applyBorder="1" applyAlignment="1">
      <alignment horizontal="center"/>
    </xf>
    <xf numFmtId="0" fontId="65" fillId="2" borderId="0" xfId="16" applyNumberFormat="1" applyFont="1" applyFill="1" applyAlignment="1">
      <alignment horizontal="center"/>
      <protection/>
    </xf>
    <xf numFmtId="0" fontId="24" fillId="2" borderId="0" xfId="17" applyNumberFormat="1" applyFont="1" applyFill="1" applyAlignment="1">
      <alignment horizontal="center"/>
      <protection/>
    </xf>
    <xf numFmtId="0" fontId="3" fillId="2" borderId="77" xfId="0" applyFont="1" applyFill="1" applyBorder="1" applyAlignment="1">
      <alignment horizontal="center" vertical="center"/>
    </xf>
    <xf numFmtId="57" fontId="1" fillId="2" borderId="52" xfId="0" applyNumberFormat="1" applyFont="1" applyFill="1" applyBorder="1" applyAlignment="1">
      <alignment horizontal="center" vertical="center"/>
    </xf>
    <xf numFmtId="57" fontId="1" fillId="2" borderId="53" xfId="0" applyNumberFormat="1" applyFont="1" applyFill="1" applyBorder="1" applyAlignment="1">
      <alignment horizontal="center" vertical="center"/>
    </xf>
    <xf numFmtId="57" fontId="1" fillId="2" borderId="78" xfId="0" applyNumberFormat="1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1" xfId="0" applyFont="1" applyFill="1" applyBorder="1" applyAlignment="1">
      <alignment horizontal="center" vertical="center"/>
    </xf>
    <xf numFmtId="196" fontId="3" fillId="2" borderId="82" xfId="0" applyNumberFormat="1" applyFont="1" applyFill="1" applyBorder="1" applyAlignment="1">
      <alignment horizontal="center" vertical="center"/>
    </xf>
    <xf numFmtId="196" fontId="3" fillId="2" borderId="83" xfId="0" applyNumberFormat="1" applyFont="1" applyFill="1" applyBorder="1" applyAlignment="1">
      <alignment horizontal="center" vertical="center"/>
    </xf>
    <xf numFmtId="196" fontId="3" fillId="2" borderId="3" xfId="0" applyNumberFormat="1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196" fontId="26" fillId="2" borderId="85" xfId="0" applyNumberFormat="1" applyFont="1" applyFill="1" applyBorder="1" applyAlignment="1">
      <alignment horizontal="center" vertical="center"/>
    </xf>
    <xf numFmtId="196" fontId="26" fillId="2" borderId="16" xfId="0" applyNumberFormat="1" applyFont="1" applyFill="1" applyBorder="1" applyAlignment="1">
      <alignment horizontal="center" vertical="center"/>
    </xf>
    <xf numFmtId="196" fontId="26" fillId="2" borderId="86" xfId="0" applyNumberFormat="1" applyFont="1" applyFill="1" applyBorder="1" applyAlignment="1">
      <alignment horizontal="center" vertical="center"/>
    </xf>
    <xf numFmtId="0" fontId="23" fillId="0" borderId="87" xfId="0" applyFont="1" applyBorder="1" applyAlignment="1">
      <alignment horizontal="center"/>
    </xf>
    <xf numFmtId="0" fontId="15" fillId="2" borderId="88" xfId="0" applyFont="1" applyFill="1" applyBorder="1" applyAlignment="1">
      <alignment horizontal="left"/>
    </xf>
    <xf numFmtId="0" fontId="21" fillId="2" borderId="21" xfId="0" applyFont="1" applyFill="1" applyBorder="1" applyAlignment="1">
      <alignment horizontal="center"/>
    </xf>
    <xf numFmtId="183" fontId="1" fillId="0" borderId="54" xfId="23" applyFont="1" applyFill="1" applyBorder="1" applyAlignment="1">
      <alignment horizontal="center"/>
    </xf>
    <xf numFmtId="183" fontId="1" fillId="0" borderId="23" xfId="23" applyFont="1" applyFill="1" applyBorder="1" applyAlignment="1">
      <alignment horizontal="center"/>
    </xf>
    <xf numFmtId="183" fontId="1" fillId="0" borderId="23" xfId="23" applyFont="1" applyFill="1" applyBorder="1" applyAlignment="1">
      <alignment/>
    </xf>
    <xf numFmtId="183" fontId="1" fillId="0" borderId="24" xfId="23" applyFont="1" applyFill="1" applyBorder="1" applyAlignment="1">
      <alignment/>
    </xf>
    <xf numFmtId="0" fontId="23" fillId="0" borderId="89" xfId="0" applyFont="1" applyBorder="1" applyAlignment="1">
      <alignment horizontal="center"/>
    </xf>
    <xf numFmtId="0" fontId="15" fillId="2" borderId="90" xfId="0" applyFont="1" applyFill="1" applyBorder="1" applyAlignment="1">
      <alignment horizontal="left"/>
    </xf>
    <xf numFmtId="183" fontId="1" fillId="0" borderId="1" xfId="23" applyFont="1" applyFill="1" applyBorder="1" applyAlignment="1">
      <alignment horizontal="center"/>
    </xf>
    <xf numFmtId="0" fontId="3" fillId="2" borderId="90" xfId="0" applyFont="1" applyFill="1" applyBorder="1" applyAlignment="1">
      <alignment horizontal="left"/>
    </xf>
    <xf numFmtId="183" fontId="1" fillId="0" borderId="28" xfId="23" applyFont="1" applyFill="1" applyBorder="1" applyAlignment="1">
      <alignment/>
    </xf>
    <xf numFmtId="0" fontId="23" fillId="0" borderId="91" xfId="0" applyFont="1" applyBorder="1" applyAlignment="1">
      <alignment horizontal="center"/>
    </xf>
    <xf numFmtId="0" fontId="3" fillId="2" borderId="51" xfId="0" applyFont="1" applyFill="1" applyBorder="1" applyAlignment="1">
      <alignment horizontal="left"/>
    </xf>
    <xf numFmtId="0" fontId="23" fillId="0" borderId="92" xfId="0" applyFont="1" applyBorder="1" applyAlignment="1">
      <alignment horizontal="center"/>
    </xf>
    <xf numFmtId="0" fontId="3" fillId="2" borderId="93" xfId="0" applyFont="1" applyFill="1" applyBorder="1" applyAlignment="1">
      <alignment horizontal="center"/>
    </xf>
    <xf numFmtId="0" fontId="26" fillId="2" borderId="94" xfId="0" applyFont="1" applyFill="1" applyBorder="1" applyAlignment="1">
      <alignment horizontal="center"/>
    </xf>
    <xf numFmtId="183" fontId="46" fillId="0" borderId="95" xfId="23" applyFont="1" applyFill="1" applyBorder="1" applyAlignment="1">
      <alignment/>
    </xf>
    <xf numFmtId="183" fontId="46" fillId="0" borderId="96" xfId="23" applyFont="1" applyFill="1" applyBorder="1" applyAlignment="1">
      <alignment/>
    </xf>
    <xf numFmtId="183" fontId="46" fillId="0" borderId="97" xfId="23" applyFont="1" applyFill="1" applyBorder="1" applyAlignment="1">
      <alignment/>
    </xf>
    <xf numFmtId="0" fontId="1" fillId="2" borderId="52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196" fontId="25" fillId="2" borderId="85" xfId="0" applyNumberFormat="1" applyFont="1" applyFill="1" applyBorder="1" applyAlignment="1">
      <alignment horizontal="center" vertical="center"/>
    </xf>
    <xf numFmtId="196" fontId="25" fillId="2" borderId="16" xfId="0" applyNumberFormat="1" applyFont="1" applyFill="1" applyBorder="1" applyAlignment="1">
      <alignment horizontal="center" vertical="center"/>
    </xf>
    <xf numFmtId="196" fontId="25" fillId="2" borderId="86" xfId="0" applyNumberFormat="1" applyFont="1" applyFill="1" applyBorder="1" applyAlignment="1">
      <alignment horizontal="center" vertical="center"/>
    </xf>
    <xf numFmtId="197" fontId="1" fillId="0" borderId="59" xfId="15" applyFont="1" applyFill="1" applyBorder="1" applyAlignment="1">
      <alignment/>
    </xf>
    <xf numFmtId="197" fontId="1" fillId="0" borderId="99" xfId="15" applyFont="1" applyFill="1" applyBorder="1" applyAlignment="1">
      <alignment/>
    </xf>
    <xf numFmtId="197" fontId="1" fillId="0" borderId="24" xfId="15" applyFont="1" applyFill="1" applyBorder="1" applyAlignment="1">
      <alignment/>
    </xf>
    <xf numFmtId="183" fontId="1" fillId="0" borderId="29" xfId="23" applyFont="1" applyFill="1" applyBorder="1" applyAlignment="1">
      <alignment horizontal="center"/>
    </xf>
    <xf numFmtId="197" fontId="1" fillId="0" borderId="54" xfId="16" applyNumberFormat="1" applyFont="1" applyFill="1" applyBorder="1">
      <alignment/>
      <protection/>
    </xf>
    <xf numFmtId="183" fontId="1" fillId="0" borderId="1" xfId="16" applyNumberFormat="1" applyFont="1" applyFill="1" applyBorder="1">
      <alignment/>
      <protection/>
    </xf>
    <xf numFmtId="183" fontId="1" fillId="0" borderId="29" xfId="16" applyNumberFormat="1" applyFont="1" applyFill="1" applyBorder="1">
      <alignment/>
      <protection/>
    </xf>
    <xf numFmtId="183" fontId="1" fillId="0" borderId="54" xfId="16" applyNumberFormat="1" applyFont="1" applyFill="1" applyBorder="1">
      <alignment/>
      <protection/>
    </xf>
    <xf numFmtId="197" fontId="1" fillId="0" borderId="54" xfId="16" applyNumberFormat="1" applyFont="1" applyFill="1" applyBorder="1" applyAlignment="1">
      <alignment horizontal="center"/>
      <protection/>
    </xf>
    <xf numFmtId="183" fontId="1" fillId="0" borderId="1" xfId="16" applyNumberFormat="1" applyFont="1" applyFill="1" applyBorder="1" applyAlignment="1">
      <alignment horizontal="center"/>
      <protection/>
    </xf>
    <xf numFmtId="183" fontId="1" fillId="0" borderId="29" xfId="16" applyNumberFormat="1" applyFont="1" applyFill="1" applyBorder="1" applyAlignment="1">
      <alignment horizontal="center"/>
      <protection/>
    </xf>
    <xf numFmtId="197" fontId="1" fillId="0" borderId="1" xfId="15" applyFont="1" applyFill="1" applyBorder="1" applyAlignment="1">
      <alignment horizontal="right"/>
    </xf>
    <xf numFmtId="197" fontId="1" fillId="0" borderId="29" xfId="15" applyFont="1" applyFill="1" applyBorder="1" applyAlignment="1">
      <alignment horizontal="right"/>
    </xf>
    <xf numFmtId="197" fontId="1" fillId="0" borderId="100" xfId="15" applyFont="1" applyFill="1" applyBorder="1" applyAlignment="1">
      <alignment/>
    </xf>
    <xf numFmtId="197" fontId="1" fillId="0" borderId="96" xfId="15" applyFont="1" applyFill="1" applyBorder="1" applyAlignment="1">
      <alignment/>
    </xf>
    <xf numFmtId="197" fontId="1" fillId="0" borderId="97" xfId="15" applyFont="1" applyFill="1" applyBorder="1" applyAlignment="1">
      <alignment/>
    </xf>
    <xf numFmtId="0" fontId="3" fillId="2" borderId="101" xfId="0" applyFont="1" applyFill="1" applyBorder="1" applyAlignment="1">
      <alignment horizontal="center" vertical="center"/>
    </xf>
    <xf numFmtId="0" fontId="66" fillId="2" borderId="0" xfId="0" applyNumberFormat="1" applyFont="1" applyFill="1" applyAlignment="1">
      <alignment horizontal="center"/>
    </xf>
    <xf numFmtId="57" fontId="60" fillId="2" borderId="53" xfId="0" applyNumberFormat="1" applyFont="1" applyFill="1" applyBorder="1" applyAlignment="1">
      <alignment horizontal="center" vertical="center"/>
    </xf>
    <xf numFmtId="57" fontId="1" fillId="2" borderId="98" xfId="0" applyNumberFormat="1" applyFont="1" applyFill="1" applyBorder="1" applyAlignment="1">
      <alignment horizontal="center" vertical="center"/>
    </xf>
    <xf numFmtId="57" fontId="67" fillId="2" borderId="53" xfId="0" applyNumberFormat="1" applyFont="1" applyFill="1" applyBorder="1" applyAlignment="1">
      <alignment horizontal="center" vertical="center"/>
    </xf>
    <xf numFmtId="57" fontId="1" fillId="2" borderId="102" xfId="0" applyNumberFormat="1" applyFont="1" applyFill="1" applyBorder="1" applyAlignment="1">
      <alignment horizontal="center" vertical="center"/>
    </xf>
    <xf numFmtId="57" fontId="67" fillId="2" borderId="102" xfId="0" applyNumberFormat="1" applyFont="1" applyFill="1" applyBorder="1" applyAlignment="1">
      <alignment horizontal="center" vertical="center"/>
    </xf>
    <xf numFmtId="57" fontId="1" fillId="2" borderId="64" xfId="0" applyNumberFormat="1" applyFont="1" applyFill="1" applyBorder="1" applyAlignment="1">
      <alignment horizontal="center" vertical="center"/>
    </xf>
    <xf numFmtId="0" fontId="60" fillId="2" borderId="80" xfId="0" applyFont="1" applyFill="1" applyBorder="1" applyAlignment="1">
      <alignment horizontal="center"/>
    </xf>
    <xf numFmtId="0" fontId="67" fillId="2" borderId="80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67" fillId="2" borderId="103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196" fontId="3" fillId="2" borderId="104" xfId="0" applyNumberFormat="1" applyFont="1" applyFill="1" applyBorder="1" applyAlignment="1">
      <alignment horizontal="center" vertical="center"/>
    </xf>
    <xf numFmtId="196" fontId="5" fillId="2" borderId="83" xfId="0" applyNumberFormat="1" applyFont="1" applyFill="1" applyBorder="1" applyAlignment="1">
      <alignment horizontal="center" vertical="center"/>
    </xf>
    <xf numFmtId="196" fontId="3" fillId="2" borderId="2" xfId="0" applyNumberFormat="1" applyFont="1" applyFill="1" applyBorder="1" applyAlignment="1">
      <alignment horizontal="center" vertical="center"/>
    </xf>
    <xf numFmtId="196" fontId="5" fillId="2" borderId="104" xfId="0" applyNumberFormat="1" applyFont="1" applyFill="1" applyBorder="1" applyAlignment="1">
      <alignment horizontal="center" vertical="center"/>
    </xf>
    <xf numFmtId="196" fontId="3" fillId="2" borderId="64" xfId="0" applyNumberFormat="1" applyFont="1" applyFill="1" applyBorder="1" applyAlignment="1">
      <alignment horizontal="center" vertical="center"/>
    </xf>
    <xf numFmtId="196" fontId="26" fillId="2" borderId="19" xfId="0" applyNumberFormat="1" applyFont="1" applyFill="1" applyBorder="1" applyAlignment="1">
      <alignment horizontal="center" vertical="center"/>
    </xf>
    <xf numFmtId="196" fontId="62" fillId="2" borderId="105" xfId="0" applyNumberFormat="1" applyFont="1" applyFill="1" applyBorder="1" applyAlignment="1">
      <alignment horizontal="center" vertical="center"/>
    </xf>
    <xf numFmtId="196" fontId="26" fillId="2" borderId="18" xfId="0" applyNumberFormat="1" applyFont="1" applyFill="1" applyBorder="1" applyAlignment="1">
      <alignment horizontal="center" vertical="center"/>
    </xf>
    <xf numFmtId="196" fontId="62" fillId="2" borderId="80" xfId="0" applyNumberFormat="1" applyFont="1" applyFill="1" applyBorder="1" applyAlignment="1">
      <alignment horizontal="center" vertical="center"/>
    </xf>
    <xf numFmtId="196" fontId="62" fillId="2" borderId="16" xfId="0" applyNumberFormat="1" applyFont="1" applyFill="1" applyBorder="1" applyAlignment="1">
      <alignment horizontal="center" vertical="center"/>
    </xf>
    <xf numFmtId="196" fontId="62" fillId="2" borderId="19" xfId="0" applyNumberFormat="1" applyFont="1" applyFill="1" applyBorder="1" applyAlignment="1">
      <alignment horizontal="center" vertical="center"/>
    </xf>
    <xf numFmtId="196" fontId="26" fillId="2" borderId="64" xfId="0" applyNumberFormat="1" applyFont="1" applyFill="1" applyBorder="1" applyAlignment="1">
      <alignment horizontal="center" vertical="center"/>
    </xf>
    <xf numFmtId="183" fontId="67" fillId="0" borderId="23" xfId="23" applyFont="1" applyFill="1" applyBorder="1" applyAlignment="1">
      <alignment/>
    </xf>
    <xf numFmtId="183" fontId="67" fillId="0" borderId="24" xfId="23" applyFont="1" applyFill="1" applyBorder="1" applyAlignment="1">
      <alignment/>
    </xf>
    <xf numFmtId="183" fontId="1" fillId="0" borderId="64" xfId="23" applyFont="1" applyFill="1" applyBorder="1" applyAlignment="1">
      <alignment/>
    </xf>
    <xf numFmtId="183" fontId="67" fillId="0" borderId="1" xfId="23" applyFont="1" applyFill="1" applyBorder="1" applyAlignment="1">
      <alignment horizontal="center"/>
    </xf>
    <xf numFmtId="183" fontId="67" fillId="0" borderId="1" xfId="23" applyFont="1" applyFill="1" applyBorder="1" applyAlignment="1">
      <alignment/>
    </xf>
    <xf numFmtId="183" fontId="67" fillId="0" borderId="29" xfId="23" applyFont="1" applyFill="1" applyBorder="1" applyAlignment="1">
      <alignment/>
    </xf>
    <xf numFmtId="183" fontId="1" fillId="0" borderId="90" xfId="23" applyFont="1" applyFill="1" applyBorder="1" applyAlignment="1">
      <alignment/>
    </xf>
    <xf numFmtId="183" fontId="67" fillId="0" borderId="90" xfId="23" applyFont="1" applyFill="1" applyBorder="1" applyAlignment="1">
      <alignment/>
    </xf>
    <xf numFmtId="183" fontId="68" fillId="0" borderId="96" xfId="23" applyFont="1" applyFill="1" applyBorder="1" applyAlignment="1">
      <alignment/>
    </xf>
    <xf numFmtId="183" fontId="46" fillId="0" borderId="64" xfId="23" applyFont="1" applyFill="1" applyBorder="1" applyAlignment="1">
      <alignment/>
    </xf>
    <xf numFmtId="0" fontId="1" fillId="2" borderId="102" xfId="0" applyFont="1" applyFill="1" applyBorder="1" applyAlignment="1">
      <alignment horizontal="center" vertical="center"/>
    </xf>
    <xf numFmtId="196" fontId="63" fillId="2" borderId="16" xfId="0" applyNumberFormat="1" applyFont="1" applyFill="1" applyBorder="1" applyAlignment="1">
      <alignment horizontal="center" vertical="center"/>
    </xf>
    <xf numFmtId="196" fontId="25" fillId="2" borderId="19" xfId="0" applyNumberFormat="1" applyFont="1" applyFill="1" applyBorder="1" applyAlignment="1">
      <alignment horizontal="center" vertical="center"/>
    </xf>
    <xf numFmtId="196" fontId="63" fillId="2" borderId="19" xfId="0" applyNumberFormat="1" applyFont="1" applyFill="1" applyBorder="1" applyAlignment="1">
      <alignment horizontal="center" vertical="center"/>
    </xf>
    <xf numFmtId="196" fontId="25" fillId="2" borderId="64" xfId="0" applyNumberFormat="1" applyFont="1" applyFill="1" applyBorder="1" applyAlignment="1">
      <alignment horizontal="center" vertical="center"/>
    </xf>
    <xf numFmtId="197" fontId="67" fillId="0" borderId="99" xfId="15" applyFont="1" applyFill="1" applyBorder="1" applyAlignment="1">
      <alignment/>
    </xf>
    <xf numFmtId="197" fontId="67" fillId="0" borderId="23" xfId="15" applyFont="1" applyFill="1" applyBorder="1" applyAlignment="1">
      <alignment/>
    </xf>
    <xf numFmtId="197" fontId="1" fillId="0" borderId="106" xfId="15" applyFont="1" applyFill="1" applyBorder="1" applyAlignment="1">
      <alignment/>
    </xf>
    <xf numFmtId="197" fontId="67" fillId="0" borderId="88" xfId="15" applyFont="1" applyFill="1" applyBorder="1" applyAlignment="1">
      <alignment/>
    </xf>
    <xf numFmtId="197" fontId="67" fillId="0" borderId="24" xfId="15" applyFont="1" applyFill="1" applyBorder="1" applyAlignment="1">
      <alignment/>
    </xf>
    <xf numFmtId="197" fontId="1" fillId="0" borderId="64" xfId="15" applyFont="1" applyFill="1" applyBorder="1" applyAlignment="1">
      <alignment/>
    </xf>
    <xf numFmtId="197" fontId="67" fillId="0" borderId="106" xfId="15" applyFont="1" applyFill="1" applyBorder="1" applyAlignment="1">
      <alignment/>
    </xf>
    <xf numFmtId="197" fontId="67" fillId="0" borderId="107" xfId="15" applyFont="1" applyFill="1" applyBorder="1" applyAlignment="1">
      <alignment/>
    </xf>
    <xf numFmtId="183" fontId="1" fillId="0" borderId="64" xfId="23" applyFont="1" applyFill="1" applyBorder="1" applyAlignment="1">
      <alignment horizontal="center"/>
    </xf>
    <xf numFmtId="183" fontId="1" fillId="0" borderId="64" xfId="16" applyNumberFormat="1" applyFont="1" applyFill="1" applyBorder="1">
      <alignment/>
      <protection/>
    </xf>
    <xf numFmtId="183" fontId="1" fillId="0" borderId="64" xfId="16" applyNumberFormat="1" applyFont="1" applyFill="1" applyBorder="1" applyAlignment="1">
      <alignment horizontal="center"/>
      <protection/>
    </xf>
    <xf numFmtId="197" fontId="1" fillId="0" borderId="64" xfId="15" applyFont="1" applyFill="1" applyBorder="1" applyAlignment="1">
      <alignment horizontal="right"/>
    </xf>
    <xf numFmtId="197" fontId="67" fillId="0" borderId="96" xfId="15" applyFont="1" applyFill="1" applyBorder="1" applyAlignment="1">
      <alignment/>
    </xf>
    <xf numFmtId="197" fontId="67" fillId="0" borderId="105" xfId="15" applyFont="1" applyFill="1" applyBorder="1" applyAlignment="1">
      <alignment/>
    </xf>
    <xf numFmtId="197" fontId="67" fillId="0" borderId="108" xfId="15" applyFont="1" applyFill="1" applyBorder="1" applyAlignment="1">
      <alignment/>
    </xf>
    <xf numFmtId="197" fontId="67" fillId="0" borderId="97" xfId="15" applyFont="1" applyFill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57" fontId="1" fillId="0" borderId="102" xfId="0" applyNumberFormat="1" applyFont="1" applyBorder="1" applyAlignment="1">
      <alignment horizontal="center" vertical="center"/>
    </xf>
    <xf numFmtId="57" fontId="67" fillId="2" borderId="78" xfId="0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67" fillId="2" borderId="81" xfId="0" applyFont="1" applyFill="1" applyBorder="1" applyAlignment="1">
      <alignment horizontal="center" vertical="center"/>
    </xf>
    <xf numFmtId="196" fontId="5" fillId="2" borderId="109" xfId="0" applyNumberFormat="1" applyFont="1" applyFill="1" applyBorder="1" applyAlignment="1">
      <alignment horizontal="center" vertical="center"/>
    </xf>
    <xf numFmtId="196" fontId="62" fillId="2" borderId="110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Continuous" vertical="center"/>
    </xf>
    <xf numFmtId="0" fontId="21" fillId="2" borderId="21" xfId="0" applyFont="1" applyFill="1" applyBorder="1" applyAlignment="1">
      <alignment horizontal="centerContinuous" vertical="center"/>
    </xf>
    <xf numFmtId="0" fontId="21" fillId="2" borderId="27" xfId="0" applyFont="1" applyFill="1" applyBorder="1" applyAlignment="1">
      <alignment horizontal="centerContinuous" vertical="center"/>
    </xf>
    <xf numFmtId="183" fontId="1" fillId="0" borderId="28" xfId="23" applyFont="1" applyFill="1" applyBorder="1" applyAlignment="1">
      <alignment horizontal="center"/>
    </xf>
    <xf numFmtId="183" fontId="1" fillId="0" borderId="1" xfId="23" applyFont="1" applyFill="1" applyBorder="1" applyAlignment="1">
      <alignment horizontal="right"/>
    </xf>
    <xf numFmtId="183" fontId="67" fillId="0" borderId="1" xfId="23" applyFont="1" applyFill="1" applyBorder="1" applyAlignment="1">
      <alignment horizontal="right"/>
    </xf>
    <xf numFmtId="183" fontId="1" fillId="0" borderId="90" xfId="23" applyFont="1" applyFill="1" applyBorder="1" applyAlignment="1">
      <alignment horizontal="right"/>
    </xf>
    <xf numFmtId="183" fontId="67" fillId="0" borderId="90" xfId="23" applyFont="1" applyFill="1" applyBorder="1" applyAlignment="1">
      <alignment horizontal="right"/>
    </xf>
    <xf numFmtId="183" fontId="67" fillId="0" borderId="29" xfId="23" applyFont="1" applyFill="1" applyBorder="1" applyAlignment="1">
      <alignment horizontal="right"/>
    </xf>
    <xf numFmtId="0" fontId="3" fillId="2" borderId="93" xfId="0" applyFont="1" applyFill="1" applyBorder="1" applyAlignment="1">
      <alignment horizontal="centerContinuous" vertical="center"/>
    </xf>
    <xf numFmtId="0" fontId="21" fillId="2" borderId="94" xfId="0" applyFont="1" applyFill="1" applyBorder="1" applyAlignment="1">
      <alignment horizontal="centerContinuous" vertical="center"/>
    </xf>
    <xf numFmtId="183" fontId="68" fillId="0" borderId="97" xfId="23" applyFont="1" applyFill="1" applyBorder="1" applyAlignment="1">
      <alignment/>
    </xf>
    <xf numFmtId="197" fontId="46" fillId="0" borderId="0" xfId="15" applyFont="1" applyFill="1" applyBorder="1" applyAlignment="1">
      <alignment/>
    </xf>
    <xf numFmtId="197" fontId="68" fillId="0" borderId="0" xfId="15" applyFont="1" applyFill="1" applyBorder="1" applyAlignment="1">
      <alignment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57" fontId="67" fillId="2" borderId="111" xfId="0" applyNumberFormat="1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67" fillId="2" borderId="112" xfId="0" applyFont="1" applyFill="1" applyBorder="1" applyAlignment="1">
      <alignment horizontal="center" vertical="center"/>
    </xf>
    <xf numFmtId="196" fontId="5" fillId="2" borderId="3" xfId="0" applyNumberFormat="1" applyFont="1" applyFill="1" applyBorder="1" applyAlignment="1">
      <alignment horizontal="center" vertical="center"/>
    </xf>
    <xf numFmtId="196" fontId="63" fillId="2" borderId="86" xfId="0" applyNumberFormat="1" applyFont="1" applyFill="1" applyBorder="1" applyAlignment="1">
      <alignment horizontal="center" vertical="center"/>
    </xf>
    <xf numFmtId="0" fontId="23" fillId="0" borderId="113" xfId="0" applyFont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83" fontId="3" fillId="2" borderId="0" xfId="23" applyFont="1" applyFill="1" applyAlignment="1">
      <alignment horizontal="centerContinuous" vertical="center"/>
    </xf>
    <xf numFmtId="183" fontId="1" fillId="2" borderId="0" xfId="0" applyNumberFormat="1" applyFont="1" applyFill="1" applyAlignment="1">
      <alignment horizontal="center" vertical="center"/>
    </xf>
    <xf numFmtId="183" fontId="3" fillId="2" borderId="0" xfId="0" applyNumberFormat="1" applyFont="1" applyFill="1" applyAlignment="1">
      <alignment horizontal="centerContinuous" vertical="center"/>
    </xf>
    <xf numFmtId="183" fontId="67" fillId="0" borderId="99" xfId="23" applyFont="1" applyFill="1" applyBorder="1" applyAlignment="1">
      <alignment horizontal="center"/>
    </xf>
    <xf numFmtId="31" fontId="3" fillId="2" borderId="0" xfId="0" applyNumberFormat="1" applyFont="1" applyFill="1" applyAlignment="1">
      <alignment horizontal="centerContinuous" vertical="center"/>
    </xf>
    <xf numFmtId="0" fontId="3" fillId="2" borderId="114" xfId="0" applyFont="1" applyFill="1" applyBorder="1" applyAlignment="1">
      <alignment/>
    </xf>
    <xf numFmtId="0" fontId="3" fillId="2" borderId="115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3" fillId="2" borderId="32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/>
    </xf>
    <xf numFmtId="0" fontId="3" fillId="2" borderId="116" xfId="16" applyFont="1" applyFill="1" applyBorder="1" applyAlignment="1">
      <alignment horizontal="center" vertical="center"/>
      <protection/>
    </xf>
    <xf numFmtId="57" fontId="7" fillId="8" borderId="117" xfId="0" applyNumberFormat="1" applyFont="1" applyFill="1" applyBorder="1" applyAlignment="1">
      <alignment horizontal="center" vertical="center"/>
    </xf>
    <xf numFmtId="57" fontId="47" fillId="8" borderId="118" xfId="0" applyNumberFormat="1" applyFont="1" applyFill="1" applyBorder="1" applyAlignment="1">
      <alignment horizontal="center" vertical="center"/>
    </xf>
    <xf numFmtId="57" fontId="47" fillId="8" borderId="119" xfId="0" applyNumberFormat="1" applyFont="1" applyFill="1" applyBorder="1" applyAlignment="1">
      <alignment horizontal="center" vertical="center"/>
    </xf>
    <xf numFmtId="0" fontId="4" fillId="2" borderId="120" xfId="16" applyFont="1" applyFill="1" applyBorder="1" applyAlignment="1">
      <alignment horizontal="center"/>
      <protection/>
    </xf>
    <xf numFmtId="0" fontId="47" fillId="8" borderId="121" xfId="0" applyFont="1" applyFill="1" applyBorder="1" applyAlignment="1">
      <alignment horizontal="center" vertical="center"/>
    </xf>
    <xf numFmtId="0" fontId="47" fillId="8" borderId="122" xfId="0" applyFont="1" applyFill="1" applyBorder="1" applyAlignment="1">
      <alignment horizontal="center" vertical="center"/>
    </xf>
    <xf numFmtId="0" fontId="47" fillId="8" borderId="123" xfId="0" applyFont="1" applyFill="1" applyBorder="1" applyAlignment="1">
      <alignment horizontal="center" vertical="center"/>
    </xf>
    <xf numFmtId="0" fontId="3" fillId="2" borderId="124" xfId="0" applyFont="1" applyFill="1" applyBorder="1" applyAlignment="1">
      <alignment/>
    </xf>
    <xf numFmtId="0" fontId="3" fillId="2" borderId="125" xfId="0" applyFont="1" applyFill="1" applyBorder="1" applyAlignment="1">
      <alignment horizontal="center" vertical="center"/>
    </xf>
    <xf numFmtId="197" fontId="12" fillId="2" borderId="68" xfId="15" applyFont="1" applyFill="1" applyBorder="1" applyAlignment="1">
      <alignment horizontal="center"/>
    </xf>
    <xf numFmtId="197" fontId="12" fillId="2" borderId="23" xfId="15" applyFont="1" applyFill="1" applyBorder="1" applyAlignment="1">
      <alignment horizontal="right"/>
    </xf>
    <xf numFmtId="0" fontId="0" fillId="2" borderId="126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3" fillId="2" borderId="127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97" fontId="1" fillId="3" borderId="128" xfId="15" applyFont="1" applyFill="1" applyBorder="1" applyAlignment="1">
      <alignment/>
    </xf>
    <xf numFmtId="197" fontId="1" fillId="3" borderId="129" xfId="15" applyFont="1" applyFill="1" applyBorder="1" applyAlignment="1">
      <alignment/>
    </xf>
    <xf numFmtId="197" fontId="1" fillId="3" borderId="130" xfId="15" applyFont="1" applyFill="1" applyBorder="1" applyAlignment="1">
      <alignment/>
    </xf>
    <xf numFmtId="0" fontId="3" fillId="2" borderId="131" xfId="0" applyFont="1" applyFill="1" applyBorder="1" applyAlignment="1">
      <alignment horizontal="center" vertical="center"/>
    </xf>
    <xf numFmtId="197" fontId="1" fillId="9" borderId="132" xfId="15" applyFont="1" applyFill="1" applyBorder="1" applyAlignment="1">
      <alignment/>
    </xf>
    <xf numFmtId="197" fontId="1" fillId="9" borderId="133" xfId="15" applyFont="1" applyFill="1" applyBorder="1" applyAlignment="1">
      <alignment/>
    </xf>
    <xf numFmtId="197" fontId="1" fillId="9" borderId="134" xfId="15" applyFont="1" applyFill="1" applyBorder="1" applyAlignment="1">
      <alignment/>
    </xf>
    <xf numFmtId="197" fontId="0" fillId="2" borderId="0" xfId="0" applyNumberFormat="1" applyFill="1" applyAlignment="1">
      <alignment/>
    </xf>
    <xf numFmtId="197" fontId="3" fillId="2" borderId="0" xfId="0" applyNumberFormat="1" applyFont="1" applyFill="1" applyAlignment="1">
      <alignment/>
    </xf>
    <xf numFmtId="0" fontId="47" fillId="8" borderId="135" xfId="0" applyFont="1" applyFill="1" applyBorder="1" applyAlignment="1">
      <alignment horizontal="center" vertical="center"/>
    </xf>
    <xf numFmtId="0" fontId="47" fillId="8" borderId="136" xfId="0" applyFont="1" applyFill="1" applyBorder="1" applyAlignment="1">
      <alignment horizontal="center" vertical="center"/>
    </xf>
    <xf numFmtId="0" fontId="47" fillId="8" borderId="137" xfId="0" applyFont="1" applyFill="1" applyBorder="1" applyAlignment="1">
      <alignment horizontal="center" vertical="center"/>
    </xf>
    <xf numFmtId="0" fontId="47" fillId="8" borderId="138" xfId="0" applyFont="1" applyFill="1" applyBorder="1" applyAlignment="1">
      <alignment horizontal="center" vertical="center"/>
    </xf>
    <xf numFmtId="0" fontId="47" fillId="8" borderId="139" xfId="0" applyFont="1" applyFill="1" applyBorder="1" applyAlignment="1">
      <alignment horizontal="center" vertical="center"/>
    </xf>
    <xf numFmtId="0" fontId="47" fillId="8" borderId="140" xfId="0" applyFont="1" applyFill="1" applyBorder="1" applyAlignment="1">
      <alignment horizontal="center" vertical="center"/>
    </xf>
    <xf numFmtId="0" fontId="4" fillId="2" borderId="114" xfId="0" applyFont="1" applyFill="1" applyBorder="1" applyAlignment="1">
      <alignment/>
    </xf>
    <xf numFmtId="197" fontId="1" fillId="2" borderId="23" xfId="15" applyFont="1" applyFill="1" applyBorder="1" applyAlignment="1">
      <alignment/>
    </xf>
    <xf numFmtId="197" fontId="1" fillId="2" borderId="24" xfId="15" applyFont="1" applyFill="1" applyBorder="1" applyAlignment="1">
      <alignment/>
    </xf>
    <xf numFmtId="183" fontId="1" fillId="2" borderId="1" xfId="23" applyFont="1" applyFill="1" applyBorder="1" applyAlignment="1">
      <alignment/>
    </xf>
    <xf numFmtId="0" fontId="26" fillId="2" borderId="51" xfId="0" applyFont="1" applyFill="1" applyBorder="1" applyAlignment="1">
      <alignment horizontal="center" vertical="center"/>
    </xf>
    <xf numFmtId="183" fontId="1" fillId="3" borderId="54" xfId="23" applyFont="1" applyFill="1" applyBorder="1" applyAlignment="1">
      <alignment/>
    </xf>
    <xf numFmtId="183" fontId="1" fillId="3" borderId="1" xfId="23" applyFont="1" applyFill="1" applyBorder="1" applyAlignment="1">
      <alignment/>
    </xf>
    <xf numFmtId="197" fontId="1" fillId="3" borderId="141" xfId="15" applyFont="1" applyFill="1" applyBorder="1" applyAlignment="1">
      <alignment horizontal="center"/>
    </xf>
    <xf numFmtId="197" fontId="1" fillId="3" borderId="142" xfId="15" applyFont="1" applyFill="1" applyBorder="1" applyAlignment="1">
      <alignment horizontal="center"/>
    </xf>
    <xf numFmtId="197" fontId="1" fillId="3" borderId="143" xfId="15" applyFont="1" applyFill="1" applyBorder="1" applyAlignment="1">
      <alignment horizontal="center"/>
    </xf>
    <xf numFmtId="197" fontId="1" fillId="10" borderId="132" xfId="15" applyFont="1" applyFill="1" applyBorder="1" applyAlignment="1">
      <alignment horizontal="center"/>
    </xf>
    <xf numFmtId="197" fontId="1" fillId="10" borderId="133" xfId="15" applyFont="1" applyFill="1" applyBorder="1" applyAlignment="1">
      <alignment horizontal="center"/>
    </xf>
    <xf numFmtId="197" fontId="1" fillId="10" borderId="134" xfId="15" applyFont="1" applyFill="1" applyBorder="1" applyAlignment="1">
      <alignment horizontal="center"/>
    </xf>
    <xf numFmtId="197" fontId="7" fillId="11" borderId="144" xfId="0" applyNumberFormat="1" applyFont="1" applyFill="1" applyBorder="1" applyAlignment="1">
      <alignment/>
    </xf>
    <xf numFmtId="197" fontId="7" fillId="11" borderId="145" xfId="0" applyNumberFormat="1" applyFont="1" applyFill="1" applyBorder="1" applyAlignment="1">
      <alignment/>
    </xf>
    <xf numFmtId="197" fontId="7" fillId="11" borderId="146" xfId="0" applyNumberFormat="1" applyFont="1" applyFill="1" applyBorder="1" applyAlignment="1">
      <alignment/>
    </xf>
    <xf numFmtId="0" fontId="75" fillId="2" borderId="101" xfId="0" applyFont="1" applyFill="1" applyBorder="1" applyAlignment="1">
      <alignment/>
    </xf>
    <xf numFmtId="0" fontId="3" fillId="2" borderId="147" xfId="0" applyFont="1" applyFill="1" applyBorder="1" applyAlignment="1">
      <alignment horizontal="center" vertical="center"/>
    </xf>
    <xf numFmtId="0" fontId="79" fillId="2" borderId="101" xfId="0" applyFont="1" applyFill="1" applyBorder="1" applyAlignment="1">
      <alignment/>
    </xf>
    <xf numFmtId="183" fontId="5" fillId="2" borderId="70" xfId="23" applyFont="1" applyFill="1" applyBorder="1" applyAlignment="1">
      <alignment horizontal="center" vertical="center"/>
    </xf>
    <xf numFmtId="183" fontId="3" fillId="2" borderId="148" xfId="23" applyFont="1" applyFill="1" applyBorder="1" applyAlignment="1">
      <alignment horizontal="center" vertical="center"/>
    </xf>
    <xf numFmtId="0" fontId="79" fillId="2" borderId="149" xfId="0" applyFont="1" applyFill="1" applyBorder="1" applyAlignment="1">
      <alignment/>
    </xf>
    <xf numFmtId="0" fontId="3" fillId="2" borderId="37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80" fillId="2" borderId="0" xfId="0" applyFont="1" applyFill="1" applyAlignment="1">
      <alignment horizontal="centerContinuous" vertical="center"/>
    </xf>
    <xf numFmtId="0" fontId="75" fillId="2" borderId="150" xfId="0" applyFont="1" applyFill="1" applyBorder="1" applyAlignment="1">
      <alignment horizontal="centerContinuous" vertical="center"/>
    </xf>
    <xf numFmtId="0" fontId="0" fillId="2" borderId="151" xfId="0" applyFill="1" applyBorder="1" applyAlignment="1">
      <alignment horizontal="centerContinuous" vertical="center"/>
    </xf>
    <xf numFmtId="0" fontId="75" fillId="2" borderId="152" xfId="0" applyFont="1" applyFill="1" applyBorder="1" applyAlignment="1">
      <alignment horizontal="centerContinuous" vertical="center"/>
    </xf>
    <xf numFmtId="0" fontId="0" fillId="2" borderId="153" xfId="0" applyFill="1" applyBorder="1" applyAlignment="1">
      <alignment horizontal="centerContinuous" vertical="center"/>
    </xf>
    <xf numFmtId="0" fontId="75" fillId="2" borderId="151" xfId="0" applyFont="1" applyFill="1" applyBorder="1" applyAlignment="1">
      <alignment horizontal="centerContinuous" vertical="center"/>
    </xf>
    <xf numFmtId="0" fontId="0" fillId="2" borderId="154" xfId="0" applyFill="1" applyBorder="1" applyAlignment="1">
      <alignment horizontal="centerContinuous" vertical="center"/>
    </xf>
    <xf numFmtId="0" fontId="3" fillId="2" borderId="155" xfId="0" applyFont="1" applyFill="1" applyBorder="1" applyAlignment="1">
      <alignment/>
    </xf>
    <xf numFmtId="0" fontId="75" fillId="2" borderId="38" xfId="0" applyFont="1" applyFill="1" applyBorder="1" applyAlignment="1">
      <alignment/>
    </xf>
    <xf numFmtId="0" fontId="0" fillId="2" borderId="38" xfId="0" applyFill="1" applyBorder="1" applyAlignment="1">
      <alignment/>
    </xf>
    <xf numFmtId="0" fontId="79" fillId="2" borderId="38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75" fillId="2" borderId="156" xfId="0" applyFont="1" applyFill="1" applyBorder="1" applyAlignment="1">
      <alignment horizontal="center" vertical="center"/>
    </xf>
    <xf numFmtId="0" fontId="3" fillId="2" borderId="157" xfId="0" applyFont="1" applyFill="1" applyBorder="1" applyAlignment="1">
      <alignment horizontal="center" vertical="center"/>
    </xf>
    <xf numFmtId="0" fontId="3" fillId="2" borderId="158" xfId="0" applyFont="1" applyFill="1" applyBorder="1" applyAlignment="1">
      <alignment horizontal="center" vertical="center"/>
    </xf>
    <xf numFmtId="0" fontId="4" fillId="2" borderId="149" xfId="0" applyFont="1" applyFill="1" applyBorder="1" applyAlignment="1">
      <alignment/>
    </xf>
    <xf numFmtId="0" fontId="3" fillId="2" borderId="159" xfId="0" applyFont="1" applyFill="1" applyBorder="1" applyAlignment="1">
      <alignment horizontal="center" vertical="center"/>
    </xf>
    <xf numFmtId="0" fontId="79" fillId="2" borderId="0" xfId="0" applyFont="1" applyFill="1" applyAlignment="1">
      <alignment/>
    </xf>
    <xf numFmtId="0" fontId="83" fillId="3" borderId="160" xfId="0" applyFont="1" applyFill="1" applyBorder="1" applyAlignment="1">
      <alignment horizontal="center" vertical="center"/>
    </xf>
    <xf numFmtId="195" fontId="3" fillId="2" borderId="0" xfId="20" applyNumberFormat="1" applyFont="1" applyFill="1" applyBorder="1" applyAlignment="1">
      <alignment horizontal="centerContinuous" vertical="center"/>
    </xf>
    <xf numFmtId="0" fontId="43" fillId="2" borderId="0" xfId="0" applyFont="1" applyFill="1" applyAlignment="1">
      <alignment horizontal="center"/>
    </xf>
    <xf numFmtId="0" fontId="45" fillId="2" borderId="150" xfId="0" applyFont="1" applyFill="1" applyBorder="1" applyAlignment="1">
      <alignment horizontal="center" vertical="center"/>
    </xf>
    <xf numFmtId="0" fontId="45" fillId="2" borderId="161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208" fontId="45" fillId="2" borderId="162" xfId="20" applyNumberFormat="1" applyFont="1" applyFill="1" applyBorder="1" applyAlignment="1">
      <alignment vertical="center"/>
    </xf>
    <xf numFmtId="0" fontId="75" fillId="0" borderId="0" xfId="0" applyFont="1" applyAlignment="1">
      <alignment/>
    </xf>
    <xf numFmtId="183" fontId="45" fillId="0" borderId="0" xfId="23" applyFont="1" applyAlignment="1">
      <alignment/>
    </xf>
    <xf numFmtId="183" fontId="0" fillId="0" borderId="0" xfId="23" applyFont="1" applyAlignment="1">
      <alignment/>
    </xf>
    <xf numFmtId="0" fontId="75" fillId="0" borderId="163" xfId="0" applyFont="1" applyBorder="1" applyAlignment="1">
      <alignment/>
    </xf>
    <xf numFmtId="195" fontId="3" fillId="2" borderId="0" xfId="2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45" fillId="2" borderId="164" xfId="0" applyFont="1" applyFill="1" applyBorder="1" applyAlignment="1">
      <alignment horizontal="center" vertical="center"/>
    </xf>
    <xf numFmtId="0" fontId="45" fillId="2" borderId="165" xfId="0" applyFont="1" applyFill="1" applyBorder="1" applyAlignment="1">
      <alignment horizontal="center" vertical="center"/>
    </xf>
    <xf numFmtId="208" fontId="45" fillId="2" borderId="1" xfId="20" applyNumberFormat="1" applyFont="1" applyFill="1" applyBorder="1" applyAlignment="1">
      <alignment vertical="center"/>
    </xf>
    <xf numFmtId="208" fontId="45" fillId="2" borderId="29" xfId="20" applyNumberFormat="1" applyFont="1" applyFill="1" applyBorder="1" applyAlignment="1">
      <alignment vertical="center"/>
    </xf>
    <xf numFmtId="0" fontId="0" fillId="0" borderId="101" xfId="0" applyFont="1" applyBorder="1" applyAlignment="1" applyProtection="1">
      <alignment vertical="center"/>
      <protection locked="0"/>
    </xf>
    <xf numFmtId="49" fontId="0" fillId="0" borderId="101" xfId="0" applyNumberFormat="1" applyFont="1" applyBorder="1" applyAlignment="1" applyProtection="1">
      <alignment horizontal="left" vertical="center"/>
      <protection locked="0"/>
    </xf>
    <xf numFmtId="49" fontId="0" fillId="0" borderId="101" xfId="0" applyNumberFormat="1" applyFont="1" applyBorder="1" applyAlignment="1" applyProtection="1">
      <alignment vertical="center"/>
      <protection locked="0"/>
    </xf>
    <xf numFmtId="49" fontId="2" fillId="0" borderId="101" xfId="0" applyNumberFormat="1" applyFont="1" applyBorder="1" applyAlignment="1" applyProtection="1">
      <alignment vertical="center"/>
      <protection locked="0"/>
    </xf>
    <xf numFmtId="0" fontId="2" fillId="0" borderId="101" xfId="0" applyFont="1" applyBorder="1" applyAlignment="1" applyProtection="1">
      <alignment vertical="center"/>
      <protection locked="0"/>
    </xf>
    <xf numFmtId="0" fontId="0" fillId="0" borderId="149" xfId="0" applyFont="1" applyFill="1" applyBorder="1" applyAlignment="1" applyProtection="1">
      <alignment horizontal="center" vertical="center"/>
      <protection locked="0"/>
    </xf>
    <xf numFmtId="208" fontId="41" fillId="2" borderId="166" xfId="20" applyNumberFormat="1" applyFont="1" applyFill="1" applyBorder="1" applyAlignment="1">
      <alignment vertical="center"/>
    </xf>
    <xf numFmtId="208" fontId="41" fillId="2" borderId="167" xfId="20" applyNumberFormat="1" applyFont="1" applyFill="1" applyBorder="1" applyAlignment="1">
      <alignment vertical="center"/>
    </xf>
    <xf numFmtId="208" fontId="41" fillId="2" borderId="35" xfId="2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208" fontId="0" fillId="0" borderId="0" xfId="0" applyNumberFormat="1" applyFont="1" applyAlignment="1">
      <alignment vertical="center"/>
    </xf>
    <xf numFmtId="0" fontId="75" fillId="0" borderId="168" xfId="0" applyFont="1" applyBorder="1" applyAlignment="1">
      <alignment/>
    </xf>
    <xf numFmtId="0" fontId="0" fillId="0" borderId="169" xfId="0" applyFont="1" applyBorder="1" applyAlignment="1" applyProtection="1">
      <alignment vertical="center"/>
      <protection locked="0"/>
    </xf>
    <xf numFmtId="0" fontId="79" fillId="0" borderId="0" xfId="0" applyFont="1" applyAlignment="1">
      <alignment/>
    </xf>
    <xf numFmtId="0" fontId="79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1" fillId="0" borderId="0" xfId="0" applyFont="1" applyAlignment="1">
      <alignment horizontal="centerContinuous" vertical="center"/>
    </xf>
    <xf numFmtId="0" fontId="8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5" fillId="0" borderId="169" xfId="0" applyFont="1" applyBorder="1" applyAlignment="1">
      <alignment vertical="center"/>
    </xf>
    <xf numFmtId="0" fontId="39" fillId="0" borderId="170" xfId="0" applyFont="1" applyBorder="1" applyAlignment="1">
      <alignment horizontal="left" vertical="center"/>
    </xf>
    <xf numFmtId="0" fontId="39" fillId="0" borderId="101" xfId="0" applyFont="1" applyBorder="1" applyAlignment="1">
      <alignment horizontal="left" vertical="center"/>
    </xf>
    <xf numFmtId="0" fontId="4" fillId="0" borderId="149" xfId="0" applyFont="1" applyBorder="1" applyAlignment="1">
      <alignment/>
    </xf>
    <xf numFmtId="0" fontId="3" fillId="2" borderId="171" xfId="0" applyFont="1" applyFill="1" applyBorder="1" applyAlignment="1">
      <alignment horizontal="center" vertical="center"/>
    </xf>
    <xf numFmtId="183" fontId="3" fillId="2" borderId="1" xfId="23" applyFont="1" applyFill="1" applyBorder="1" applyAlignment="1">
      <alignment/>
    </xf>
    <xf numFmtId="183" fontId="3" fillId="2" borderId="30" xfId="23" applyFont="1" applyFill="1" applyBorder="1" applyAlignment="1">
      <alignment/>
    </xf>
    <xf numFmtId="183" fontId="3" fillId="2" borderId="28" xfId="23" applyFont="1" applyFill="1" applyBorder="1" applyAlignment="1">
      <alignment/>
    </xf>
    <xf numFmtId="0" fontId="39" fillId="3" borderId="101" xfId="0" applyFont="1" applyFill="1" applyBorder="1" applyAlignment="1">
      <alignment horizontal="left" vertical="center"/>
    </xf>
    <xf numFmtId="183" fontId="4" fillId="2" borderId="28" xfId="23" applyFont="1" applyFill="1" applyBorder="1" applyAlignment="1">
      <alignment/>
    </xf>
    <xf numFmtId="183" fontId="3" fillId="3" borderId="30" xfId="23" applyFont="1" applyFill="1" applyBorder="1" applyAlignment="1">
      <alignment/>
    </xf>
    <xf numFmtId="183" fontId="3" fillId="12" borderId="29" xfId="23" applyFont="1" applyFill="1" applyBorder="1" applyAlignment="1">
      <alignment/>
    </xf>
    <xf numFmtId="183" fontId="3" fillId="0" borderId="172" xfId="23" applyFont="1" applyBorder="1" applyAlignment="1">
      <alignment/>
    </xf>
    <xf numFmtId="183" fontId="3" fillId="0" borderId="167" xfId="23" applyFont="1" applyBorder="1" applyAlignment="1">
      <alignment/>
    </xf>
    <xf numFmtId="183" fontId="3" fillId="12" borderId="29" xfId="0" applyNumberFormat="1" applyFont="1" applyFill="1" applyBorder="1" applyAlignment="1">
      <alignment/>
    </xf>
    <xf numFmtId="183" fontId="3" fillId="0" borderId="173" xfId="23" applyFont="1" applyBorder="1" applyAlignment="1">
      <alignment/>
    </xf>
    <xf numFmtId="0" fontId="3" fillId="0" borderId="33" xfId="0" applyFont="1" applyBorder="1" applyAlignment="1">
      <alignment vertical="center"/>
    </xf>
    <xf numFmtId="0" fontId="3" fillId="2" borderId="169" xfId="0" applyFont="1" applyFill="1" applyBorder="1" applyAlignment="1">
      <alignment horizontal="left" vertical="center"/>
    </xf>
    <xf numFmtId="0" fontId="87" fillId="8" borderId="0" xfId="0" applyFont="1" applyFill="1" applyAlignment="1">
      <alignment horizontal="center" vertical="center"/>
    </xf>
    <xf numFmtId="0" fontId="4" fillId="2" borderId="174" xfId="0" applyFont="1" applyFill="1" applyBorder="1" applyAlignment="1">
      <alignment horizontal="center" vertical="center"/>
    </xf>
    <xf numFmtId="197" fontId="1" fillId="2" borderId="28" xfId="15" applyFont="1" applyFill="1" applyBorder="1" applyAlignment="1">
      <alignment/>
    </xf>
    <xf numFmtId="0" fontId="75" fillId="0" borderId="114" xfId="0" applyFont="1" applyBorder="1" applyAlignment="1">
      <alignment vertical="center"/>
    </xf>
    <xf numFmtId="183" fontId="3" fillId="2" borderId="175" xfId="23" applyFont="1" applyFill="1" applyBorder="1" applyAlignment="1">
      <alignment horizontal="centerContinuous" vertical="center"/>
    </xf>
    <xf numFmtId="183" fontId="3" fillId="2" borderId="176" xfId="23" applyFont="1" applyFill="1" applyBorder="1" applyAlignment="1">
      <alignment horizontal="centerContinuous" vertical="center"/>
    </xf>
    <xf numFmtId="183" fontId="3" fillId="2" borderId="33" xfId="23" applyFont="1" applyFill="1" applyBorder="1" applyAlignment="1">
      <alignment horizontal="centerContinuous" vertical="center"/>
    </xf>
    <xf numFmtId="183" fontId="3" fillId="2" borderId="115" xfId="23" applyFont="1" applyFill="1" applyBorder="1" applyAlignment="1">
      <alignment horizontal="centerContinuous" vertical="center"/>
    </xf>
    <xf numFmtId="183" fontId="3" fillId="2" borderId="1" xfId="23" applyFont="1" applyFill="1" applyBorder="1" applyAlignment="1">
      <alignment horizontal="centerContinuous" vertical="center"/>
    </xf>
    <xf numFmtId="0" fontId="75" fillId="0" borderId="101" xfId="0" applyFont="1" applyBorder="1" applyAlignment="1" applyProtection="1">
      <alignment vertical="center"/>
      <protection locked="0"/>
    </xf>
    <xf numFmtId="0" fontId="75" fillId="0" borderId="149" xfId="0" applyFont="1" applyFill="1" applyBorder="1" applyAlignment="1" applyProtection="1">
      <alignment horizontal="center" vertical="center"/>
      <protection locked="0"/>
    </xf>
    <xf numFmtId="183" fontId="3" fillId="2" borderId="177" xfId="23" applyFont="1" applyFill="1" applyBorder="1" applyAlignment="1">
      <alignment horizontal="centerContinuous" vertical="center"/>
    </xf>
    <xf numFmtId="183" fontId="3" fillId="2" borderId="29" xfId="23" applyFont="1" applyFill="1" applyBorder="1" applyAlignment="1">
      <alignment horizontal="centerContinuous" vertical="center"/>
    </xf>
    <xf numFmtId="0" fontId="83" fillId="3" borderId="16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23" fillId="0" borderId="178" xfId="0" applyFont="1" applyBorder="1" applyAlignment="1">
      <alignment horizontal="center"/>
    </xf>
    <xf numFmtId="0" fontId="3" fillId="2" borderId="33" xfId="0" applyFont="1" applyFill="1" applyBorder="1" applyAlignment="1">
      <alignment horizontal="centerContinuous" vertical="center"/>
    </xf>
    <xf numFmtId="0" fontId="3" fillId="2" borderId="179" xfId="0" applyFont="1" applyFill="1" applyBorder="1" applyAlignment="1">
      <alignment horizontal="centerContinuous" vertical="center"/>
    </xf>
    <xf numFmtId="4" fontId="1" fillId="0" borderId="59" xfId="15" applyNumberFormat="1" applyFont="1" applyFill="1" applyBorder="1" applyAlignment="1">
      <alignment/>
    </xf>
    <xf numFmtId="4" fontId="1" fillId="0" borderId="99" xfId="15" applyNumberFormat="1" applyFont="1" applyFill="1" applyBorder="1" applyAlignment="1">
      <alignment/>
    </xf>
    <xf numFmtId="4" fontId="67" fillId="0" borderId="99" xfId="15" applyNumberFormat="1" applyFont="1" applyFill="1" applyBorder="1" applyAlignment="1">
      <alignment/>
    </xf>
    <xf numFmtId="4" fontId="1" fillId="0" borderId="23" xfId="15" applyNumberFormat="1" applyFont="1" applyFill="1" applyBorder="1" applyAlignment="1">
      <alignment/>
    </xf>
    <xf numFmtId="4" fontId="67" fillId="0" borderId="106" xfId="15" applyNumberFormat="1" applyFont="1" applyFill="1" applyBorder="1" applyAlignment="1">
      <alignment/>
    </xf>
    <xf numFmtId="4" fontId="67" fillId="0" borderId="24" xfId="15" applyNumberFormat="1" applyFont="1" applyFill="1" applyBorder="1" applyAlignment="1">
      <alignment/>
    </xf>
    <xf numFmtId="4" fontId="1" fillId="0" borderId="54" xfId="15" applyNumberFormat="1" applyFont="1" applyFill="1" applyBorder="1" applyAlignment="1">
      <alignment/>
    </xf>
    <xf numFmtId="4" fontId="1" fillId="0" borderId="1" xfId="15" applyNumberFormat="1" applyFont="1" applyFill="1" applyBorder="1" applyAlignment="1">
      <alignment/>
    </xf>
    <xf numFmtId="4" fontId="67" fillId="0" borderId="29" xfId="15" applyNumberFormat="1" applyFont="1" applyFill="1" applyBorder="1" applyAlignment="1">
      <alignment/>
    </xf>
    <xf numFmtId="4" fontId="1" fillId="0" borderId="54" xfId="23" applyNumberFormat="1" applyFont="1" applyFill="1" applyBorder="1" applyAlignment="1">
      <alignment/>
    </xf>
    <xf numFmtId="4" fontId="1" fillId="0" borderId="1" xfId="23" applyNumberFormat="1" applyFont="1" applyFill="1" applyBorder="1" applyAlignment="1">
      <alignment/>
    </xf>
    <xf numFmtId="4" fontId="1" fillId="0" borderId="1" xfId="23" applyNumberFormat="1" applyFont="1" applyFill="1" applyBorder="1" applyAlignment="1">
      <alignment horizontal="center"/>
    </xf>
    <xf numFmtId="4" fontId="1" fillId="0" borderId="54" xfId="16" applyNumberFormat="1" applyFont="1" applyFill="1" applyBorder="1">
      <alignment/>
      <protection/>
    </xf>
    <xf numFmtId="4" fontId="21" fillId="0" borderId="1" xfId="16" applyNumberFormat="1" applyFont="1" applyFill="1" applyBorder="1">
      <alignment/>
      <protection/>
    </xf>
    <xf numFmtId="4" fontId="3" fillId="0" borderId="54" xfId="16" applyNumberFormat="1" applyFont="1" applyFill="1" applyBorder="1">
      <alignment/>
      <protection/>
    </xf>
    <xf numFmtId="4" fontId="3" fillId="0" borderId="1" xfId="16" applyNumberFormat="1" applyFont="1" applyFill="1" applyBorder="1">
      <alignment/>
      <protection/>
    </xf>
    <xf numFmtId="4" fontId="1" fillId="0" borderId="1" xfId="16" applyNumberFormat="1" applyFont="1" applyFill="1" applyBorder="1">
      <alignment/>
      <protection/>
    </xf>
    <xf numFmtId="4" fontId="21" fillId="0" borderId="1" xfId="16" applyNumberFormat="1" applyFont="1" applyFill="1" applyBorder="1" applyAlignment="1">
      <alignment horizontal="center"/>
      <protection/>
    </xf>
    <xf numFmtId="4" fontId="1" fillId="0" borderId="1" xfId="15" applyNumberFormat="1" applyFont="1" applyFill="1" applyBorder="1" applyAlignment="1">
      <alignment horizontal="right"/>
    </xf>
    <xf numFmtId="4" fontId="1" fillId="0" borderId="1" xfId="15" applyNumberFormat="1" applyFont="1" applyFill="1" applyBorder="1" applyAlignment="1">
      <alignment horizontal="center"/>
    </xf>
    <xf numFmtId="4" fontId="46" fillId="0" borderId="100" xfId="15" applyNumberFormat="1" applyFont="1" applyFill="1" applyBorder="1" applyAlignment="1">
      <alignment/>
    </xf>
    <xf numFmtId="4" fontId="46" fillId="0" borderId="96" xfId="15" applyNumberFormat="1" applyFont="1" applyFill="1" applyBorder="1" applyAlignment="1">
      <alignment/>
    </xf>
    <xf numFmtId="4" fontId="68" fillId="0" borderId="96" xfId="15" applyNumberFormat="1" applyFont="1" applyFill="1" applyBorder="1" applyAlignment="1">
      <alignment/>
    </xf>
    <xf numFmtId="4" fontId="68" fillId="0" borderId="97" xfId="15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" fillId="0" borderId="52" xfId="0" applyNumberFormat="1" applyFont="1" applyFill="1" applyBorder="1" applyAlignment="1">
      <alignment horizontal="center" vertical="center"/>
    </xf>
    <xf numFmtId="4" fontId="1" fillId="0" borderId="53" xfId="0" applyNumberFormat="1" applyFont="1" applyFill="1" applyBorder="1" applyAlignment="1">
      <alignment horizontal="center" vertical="center"/>
    </xf>
    <xf numFmtId="4" fontId="1" fillId="0" borderId="98" xfId="0" applyNumberFormat="1" applyFont="1" applyFill="1" applyBorder="1" applyAlignment="1">
      <alignment horizontal="center" vertical="center"/>
    </xf>
    <xf numFmtId="4" fontId="60" fillId="2" borderId="53" xfId="0" applyNumberFormat="1" applyFont="1" applyFill="1" applyBorder="1" applyAlignment="1">
      <alignment horizontal="center" vertical="center"/>
    </xf>
    <xf numFmtId="4" fontId="67" fillId="2" borderId="53" xfId="0" applyNumberFormat="1" applyFont="1" applyFill="1" applyBorder="1" applyAlignment="1">
      <alignment horizontal="center" vertical="center"/>
    </xf>
    <xf numFmtId="4" fontId="1" fillId="0" borderId="102" xfId="0" applyNumberFormat="1" applyFont="1" applyFill="1" applyBorder="1" applyAlignment="1">
      <alignment horizontal="center" vertical="center"/>
    </xf>
    <xf numFmtId="4" fontId="67" fillId="2" borderId="111" xfId="0" applyNumberFormat="1" applyFont="1" applyFill="1" applyBorder="1" applyAlignment="1">
      <alignment horizontal="center" vertical="center"/>
    </xf>
    <xf numFmtId="4" fontId="1" fillId="0" borderId="79" xfId="0" applyNumberFormat="1" applyFont="1" applyFill="1" applyBorder="1" applyAlignment="1">
      <alignment horizontal="center" vertical="center"/>
    </xf>
    <xf numFmtId="4" fontId="1" fillId="0" borderId="8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60" fillId="2" borderId="80" xfId="0" applyNumberFormat="1" applyFont="1" applyFill="1" applyBorder="1" applyAlignment="1">
      <alignment horizontal="center"/>
    </xf>
    <xf numFmtId="4" fontId="67" fillId="2" borderId="80" xfId="0" applyNumberFormat="1" applyFont="1" applyFill="1" applyBorder="1" applyAlignment="1">
      <alignment horizontal="center" vertical="center"/>
    </xf>
    <xf numFmtId="4" fontId="1" fillId="0" borderId="103" xfId="0" applyNumberFormat="1" applyFont="1" applyFill="1" applyBorder="1" applyAlignment="1">
      <alignment horizontal="center" vertical="center"/>
    </xf>
    <xf numFmtId="4" fontId="67" fillId="2" borderId="112" xfId="0" applyNumberFormat="1" applyFont="1" applyFill="1" applyBorder="1" applyAlignment="1">
      <alignment horizontal="center" vertical="center"/>
    </xf>
    <xf numFmtId="4" fontId="3" fillId="2" borderId="82" xfId="0" applyNumberFormat="1" applyFont="1" applyFill="1" applyBorder="1" applyAlignment="1">
      <alignment horizontal="center" vertical="center"/>
    </xf>
    <xf numFmtId="4" fontId="3" fillId="2" borderId="83" xfId="0" applyNumberFormat="1" applyFont="1" applyFill="1" applyBorder="1" applyAlignment="1">
      <alignment horizontal="center" vertical="center"/>
    </xf>
    <xf numFmtId="4" fontId="5" fillId="2" borderId="104" xfId="0" applyNumberFormat="1" applyFont="1" applyFill="1" applyBorder="1" applyAlignment="1">
      <alignment horizontal="center" vertical="center"/>
    </xf>
    <xf numFmtId="4" fontId="5" fillId="2" borderId="83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25" fillId="2" borderId="85" xfId="0" applyNumberFormat="1" applyFont="1" applyFill="1" applyBorder="1" applyAlignment="1">
      <alignment horizontal="center" vertical="center"/>
    </xf>
    <xf numFmtId="4" fontId="25" fillId="2" borderId="16" xfId="0" applyNumberFormat="1" applyFont="1" applyFill="1" applyBorder="1" applyAlignment="1">
      <alignment horizontal="center" vertical="center"/>
    </xf>
    <xf numFmtId="4" fontId="63" fillId="2" borderId="16" xfId="0" applyNumberFormat="1" applyFont="1" applyFill="1" applyBorder="1" applyAlignment="1">
      <alignment horizontal="center" vertical="center"/>
    </xf>
    <xf numFmtId="4" fontId="25" fillId="2" borderId="19" xfId="0" applyNumberFormat="1" applyFont="1" applyFill="1" applyBorder="1" applyAlignment="1">
      <alignment horizontal="center" vertical="center"/>
    </xf>
    <xf numFmtId="4" fontId="63" fillId="2" borderId="19" xfId="0" applyNumberFormat="1" applyFont="1" applyFill="1" applyBorder="1" applyAlignment="1">
      <alignment horizontal="center" vertical="center"/>
    </xf>
    <xf numFmtId="4" fontId="63" fillId="2" borderId="86" xfId="0" applyNumberFormat="1" applyFont="1" applyFill="1" applyBorder="1" applyAlignment="1">
      <alignment horizontal="center" vertical="center"/>
    </xf>
    <xf numFmtId="4" fontId="1" fillId="0" borderId="54" xfId="16" applyNumberFormat="1" applyFont="1" applyFill="1" applyBorder="1" applyAlignment="1">
      <alignment horizontal="right"/>
      <protection/>
    </xf>
    <xf numFmtId="4" fontId="1" fillId="0" borderId="1" xfId="16" applyNumberFormat="1" applyFont="1" applyFill="1" applyBorder="1" applyAlignment="1">
      <alignment horizontal="right"/>
      <protection/>
    </xf>
    <xf numFmtId="4" fontId="67" fillId="0" borderId="99" xfId="15" applyNumberFormat="1" applyFont="1" applyFill="1" applyBorder="1" applyAlignment="1">
      <alignment horizontal="right"/>
    </xf>
    <xf numFmtId="4" fontId="1" fillId="0" borderId="99" xfId="15" applyNumberFormat="1" applyFont="1" applyFill="1" applyBorder="1" applyAlignment="1">
      <alignment horizontal="right"/>
    </xf>
    <xf numFmtId="4" fontId="67" fillId="0" borderId="106" xfId="15" applyNumberFormat="1" applyFont="1" applyFill="1" applyBorder="1" applyAlignment="1">
      <alignment horizontal="right"/>
    </xf>
    <xf numFmtId="4" fontId="67" fillId="0" borderId="29" xfId="15" applyNumberFormat="1" applyFont="1" applyFill="1" applyBorder="1" applyAlignment="1">
      <alignment horizontal="right"/>
    </xf>
    <xf numFmtId="4" fontId="1" fillId="0" borderId="54" xfId="15" applyNumberFormat="1" applyFont="1" applyFill="1" applyBorder="1" applyAlignment="1">
      <alignment horizontal="right"/>
    </xf>
    <xf numFmtId="4" fontId="1" fillId="0" borderId="54" xfId="23" applyNumberFormat="1" applyFont="1" applyFill="1" applyBorder="1" applyAlignment="1">
      <alignment horizontal="right"/>
    </xf>
    <xf numFmtId="4" fontId="1" fillId="0" borderId="1" xfId="23" applyNumberFormat="1" applyFont="1" applyFill="1" applyBorder="1" applyAlignment="1">
      <alignment horizontal="right"/>
    </xf>
    <xf numFmtId="0" fontId="3" fillId="2" borderId="180" xfId="0" applyFont="1" applyFill="1" applyBorder="1" applyAlignment="1">
      <alignment horizontal="left"/>
    </xf>
    <xf numFmtId="0" fontId="3" fillId="2" borderId="169" xfId="0" applyFont="1" applyFill="1" applyBorder="1" applyAlignment="1">
      <alignment horizontal="left"/>
    </xf>
    <xf numFmtId="0" fontId="3" fillId="13" borderId="33" xfId="0" applyFont="1" applyFill="1" applyBorder="1" applyAlignment="1">
      <alignment vertical="center"/>
    </xf>
    <xf numFmtId="0" fontId="21" fillId="3" borderId="27" xfId="0" applyFont="1" applyFill="1" applyBorder="1" applyAlignment="1">
      <alignment horizontal="center"/>
    </xf>
    <xf numFmtId="0" fontId="26" fillId="3" borderId="27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3" fillId="13" borderId="33" xfId="0" applyFont="1" applyFill="1" applyBorder="1" applyAlignment="1" applyProtection="1">
      <alignment vertical="center"/>
      <protection locked="0"/>
    </xf>
    <xf numFmtId="0" fontId="3" fillId="2" borderId="99" xfId="0" applyFont="1" applyFill="1" applyBorder="1" applyAlignment="1">
      <alignment horizontal="center" vertical="center"/>
    </xf>
    <xf numFmtId="0" fontId="3" fillId="2" borderId="181" xfId="0" applyFont="1" applyFill="1" applyBorder="1" applyAlignment="1">
      <alignment horizontal="center" vertical="center"/>
    </xf>
    <xf numFmtId="0" fontId="3" fillId="2" borderId="182" xfId="0" applyFont="1" applyFill="1" applyBorder="1" applyAlignment="1">
      <alignment horizontal="center" vertical="center"/>
    </xf>
    <xf numFmtId="0" fontId="3" fillId="2" borderId="183" xfId="0" applyFont="1" applyFill="1" applyBorder="1" applyAlignment="1">
      <alignment horizontal="center" vertical="center"/>
    </xf>
    <xf numFmtId="0" fontId="3" fillId="2" borderId="184" xfId="0" applyFont="1" applyFill="1" applyBorder="1" applyAlignment="1">
      <alignment horizontal="center" vertical="center"/>
    </xf>
    <xf numFmtId="0" fontId="3" fillId="2" borderId="185" xfId="0" applyFont="1" applyFill="1" applyBorder="1" applyAlignment="1">
      <alignment horizontal="center" vertical="center"/>
    </xf>
    <xf numFmtId="0" fontId="3" fillId="2" borderId="186" xfId="0" applyFont="1" applyFill="1" applyBorder="1" applyAlignment="1">
      <alignment horizontal="center" vertical="center"/>
    </xf>
    <xf numFmtId="0" fontId="3" fillId="2" borderId="187" xfId="0" applyFont="1" applyFill="1" applyBorder="1" applyAlignment="1">
      <alignment horizontal="center" vertical="center"/>
    </xf>
    <xf numFmtId="0" fontId="3" fillId="2" borderId="188" xfId="0" applyFont="1" applyFill="1" applyBorder="1" applyAlignment="1">
      <alignment horizontal="center" vertical="center"/>
    </xf>
    <xf numFmtId="0" fontId="3" fillId="2" borderId="185" xfId="0" applyFont="1" applyFill="1" applyBorder="1" applyAlignment="1">
      <alignment horizontal="left" vertical="center"/>
    </xf>
    <xf numFmtId="0" fontId="3" fillId="2" borderId="189" xfId="0" applyFont="1" applyFill="1" applyBorder="1" applyAlignment="1">
      <alignment vertical="center"/>
    </xf>
    <xf numFmtId="0" fontId="3" fillId="2" borderId="115" xfId="0" applyFont="1" applyFill="1" applyBorder="1" applyAlignment="1">
      <alignment vertical="center"/>
    </xf>
    <xf numFmtId="0" fontId="4" fillId="2" borderId="10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4" fontId="3" fillId="2" borderId="183" xfId="0" applyNumberFormat="1" applyFont="1" applyFill="1" applyBorder="1" applyAlignment="1">
      <alignment vertical="center"/>
    </xf>
    <xf numFmtId="0" fontId="3" fillId="2" borderId="155" xfId="0" applyFont="1" applyFill="1" applyBorder="1" applyAlignment="1">
      <alignment vertical="center"/>
    </xf>
    <xf numFmtId="0" fontId="3" fillId="2" borderId="190" xfId="0" applyFont="1" applyFill="1" applyBorder="1" applyAlignment="1">
      <alignment vertical="center"/>
    </xf>
    <xf numFmtId="0" fontId="3" fillId="2" borderId="99" xfId="0" applyFont="1" applyFill="1" applyBorder="1" applyAlignment="1">
      <alignment vertical="center"/>
    </xf>
    <xf numFmtId="0" fontId="3" fillId="2" borderId="101" xfId="0" applyFont="1" applyFill="1" applyBorder="1" applyAlignment="1">
      <alignment vertical="center"/>
    </xf>
    <xf numFmtId="0" fontId="3" fillId="2" borderId="16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210" fontId="3" fillId="2" borderId="1" xfId="0" applyNumberFormat="1" applyFont="1" applyFill="1" applyBorder="1" applyAlignment="1">
      <alignment vertical="center"/>
    </xf>
    <xf numFmtId="0" fontId="3" fillId="2" borderId="191" xfId="0" applyFont="1" applyFill="1" applyBorder="1" applyAlignment="1">
      <alignment vertical="center"/>
    </xf>
    <xf numFmtId="0" fontId="3" fillId="2" borderId="181" xfId="0" applyFont="1" applyFill="1" applyBorder="1" applyAlignment="1">
      <alignment vertical="center"/>
    </xf>
    <xf numFmtId="0" fontId="3" fillId="2" borderId="182" xfId="0" applyFont="1" applyFill="1" applyBorder="1" applyAlignment="1">
      <alignment vertical="center"/>
    </xf>
    <xf numFmtId="208" fontId="16" fillId="2" borderId="184" xfId="0" applyNumberFormat="1" applyFont="1" applyFill="1" applyBorder="1" applyAlignment="1">
      <alignment vertical="center"/>
    </xf>
    <xf numFmtId="210" fontId="15" fillId="2" borderId="192" xfId="0" applyNumberFormat="1" applyFont="1" applyFill="1" applyBorder="1" applyAlignment="1">
      <alignment horizontal="right" vertical="center"/>
    </xf>
    <xf numFmtId="210" fontId="15" fillId="2" borderId="193" xfId="0" applyNumberFormat="1" applyFont="1" applyFill="1" applyBorder="1" applyAlignment="1">
      <alignment horizontal="right" vertical="center"/>
    </xf>
    <xf numFmtId="210" fontId="15" fillId="2" borderId="29" xfId="0" applyNumberFormat="1" applyFont="1" applyFill="1" applyBorder="1" applyAlignment="1">
      <alignment horizontal="right" vertical="center"/>
    </xf>
    <xf numFmtId="210" fontId="15" fillId="2" borderId="107" xfId="0" applyNumberFormat="1" applyFont="1" applyFill="1" applyBorder="1" applyAlignment="1">
      <alignment horizontal="right" vertical="center"/>
    </xf>
    <xf numFmtId="0" fontId="3" fillId="0" borderId="194" xfId="0" applyFont="1" applyBorder="1" applyAlignment="1">
      <alignment vertical="center"/>
    </xf>
    <xf numFmtId="0" fontId="89" fillId="0" borderId="33" xfId="0" applyFont="1" applyBorder="1" applyAlignment="1">
      <alignment vertical="center"/>
    </xf>
    <xf numFmtId="0" fontId="3" fillId="12" borderId="33" xfId="0" applyFont="1" applyFill="1" applyBorder="1" applyAlignment="1">
      <alignment vertical="center"/>
    </xf>
    <xf numFmtId="0" fontId="3" fillId="14" borderId="33" xfId="0" applyFont="1" applyFill="1" applyBorder="1" applyAlignment="1">
      <alignment vertical="center"/>
    </xf>
    <xf numFmtId="0" fontId="89" fillId="3" borderId="33" xfId="0" applyFont="1" applyFill="1" applyBorder="1" applyAlignment="1">
      <alignment vertical="center"/>
    </xf>
    <xf numFmtId="0" fontId="89" fillId="14" borderId="33" xfId="0" applyFont="1" applyFill="1" applyBorder="1" applyAlignment="1">
      <alignment vertical="center"/>
    </xf>
    <xf numFmtId="0" fontId="19" fillId="3" borderId="33" xfId="0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183" fontId="1" fillId="0" borderId="195" xfId="23" applyFont="1" applyFill="1" applyBorder="1" applyAlignment="1">
      <alignment horizontal="center"/>
    </xf>
    <xf numFmtId="183" fontId="1" fillId="0" borderId="26" xfId="23" applyFont="1" applyFill="1" applyBorder="1" applyAlignment="1">
      <alignment horizontal="center"/>
    </xf>
    <xf numFmtId="183" fontId="1" fillId="0" borderId="26" xfId="23" applyFont="1" applyFill="1" applyBorder="1" applyAlignment="1">
      <alignment/>
    </xf>
    <xf numFmtId="0" fontId="45" fillId="2" borderId="39" xfId="0" applyFont="1" applyFill="1" applyBorder="1" applyAlignment="1">
      <alignment horizontal="center" vertical="center"/>
    </xf>
    <xf numFmtId="0" fontId="45" fillId="2" borderId="196" xfId="0" applyFont="1" applyFill="1" applyBorder="1" applyAlignment="1">
      <alignment horizontal="center" vertical="center"/>
    </xf>
    <xf numFmtId="0" fontId="45" fillId="2" borderId="174" xfId="0" applyFont="1" applyFill="1" applyBorder="1" applyAlignment="1">
      <alignment horizontal="center" vertical="center"/>
    </xf>
    <xf numFmtId="0" fontId="45" fillId="2" borderId="57" xfId="0" applyFont="1" applyFill="1" applyBorder="1" applyAlignment="1">
      <alignment horizontal="center" vertical="center"/>
    </xf>
    <xf numFmtId="196" fontId="61" fillId="2" borderId="82" xfId="0" applyNumberFormat="1" applyFont="1" applyFill="1" applyBorder="1" applyAlignment="1">
      <alignment horizontal="center" vertical="center"/>
    </xf>
    <xf numFmtId="196" fontId="61" fillId="2" borderId="83" xfId="0" applyNumberFormat="1" applyFont="1" applyFill="1" applyBorder="1" applyAlignment="1">
      <alignment horizontal="center" vertical="center"/>
    </xf>
    <xf numFmtId="196" fontId="61" fillId="2" borderId="3" xfId="0" applyNumberFormat="1" applyFont="1" applyFill="1" applyBorder="1" applyAlignment="1">
      <alignment horizontal="center" vertical="center"/>
    </xf>
    <xf numFmtId="183" fontId="3" fillId="2" borderId="191" xfId="23" applyFont="1" applyFill="1" applyBorder="1" applyAlignment="1">
      <alignment horizontal="centerContinuous" vertical="center"/>
    </xf>
    <xf numFmtId="183" fontId="3" fillId="2" borderId="197" xfId="23" applyFont="1" applyFill="1" applyBorder="1" applyAlignment="1">
      <alignment horizontal="centerContinuous" vertical="center"/>
    </xf>
    <xf numFmtId="208" fontId="3" fillId="2" borderId="177" xfId="20" applyNumberFormat="1" applyFont="1" applyFill="1" applyBorder="1" applyAlignment="1">
      <alignment vertical="center"/>
    </xf>
    <xf numFmtId="208" fontId="3" fillId="2" borderId="29" xfId="20" applyNumberFormat="1" applyFont="1" applyFill="1" applyBorder="1" applyAlignment="1">
      <alignment vertical="center"/>
    </xf>
    <xf numFmtId="195" fontId="3" fillId="2" borderId="0" xfId="20" applyNumberFormat="1" applyFont="1" applyFill="1" applyBorder="1" applyAlignment="1" applyProtection="1">
      <alignment horizontal="centerContinuous" vertical="center"/>
      <protection hidden="1"/>
    </xf>
    <xf numFmtId="208" fontId="3" fillId="2" borderId="198" xfId="23" applyNumberFormat="1" applyFont="1" applyFill="1" applyBorder="1" applyAlignment="1" applyProtection="1">
      <alignment horizontal="right" vertical="center"/>
      <protection hidden="1"/>
    </xf>
    <xf numFmtId="208" fontId="3" fillId="2" borderId="199" xfId="23" applyNumberFormat="1" applyFont="1" applyFill="1" applyBorder="1" applyAlignment="1" applyProtection="1">
      <alignment horizontal="right" vertical="center"/>
      <protection hidden="1"/>
    </xf>
    <xf numFmtId="208" fontId="3" fillId="2" borderId="200" xfId="23" applyNumberFormat="1" applyFont="1" applyFill="1" applyBorder="1" applyAlignment="1" applyProtection="1">
      <alignment horizontal="right" vertical="center"/>
      <protection hidden="1"/>
    </xf>
    <xf numFmtId="208" fontId="3" fillId="2" borderId="201" xfId="23" applyNumberFormat="1" applyFont="1" applyFill="1" applyBorder="1" applyAlignment="1" applyProtection="1">
      <alignment horizontal="right" vertical="center"/>
      <protection hidden="1"/>
    </xf>
    <xf numFmtId="208" fontId="3" fillId="2" borderId="202" xfId="23" applyNumberFormat="1" applyFont="1" applyFill="1" applyBorder="1" applyAlignment="1" applyProtection="1">
      <alignment horizontal="right" vertical="center"/>
      <protection hidden="1"/>
    </xf>
    <xf numFmtId="208" fontId="3" fillId="2" borderId="203" xfId="23" applyNumberFormat="1" applyFont="1" applyFill="1" applyBorder="1" applyAlignment="1" applyProtection="1">
      <alignment horizontal="right" vertical="center"/>
      <protection hidden="1"/>
    </xf>
    <xf numFmtId="208" fontId="3" fillId="2" borderId="204" xfId="23" applyNumberFormat="1" applyFont="1" applyFill="1" applyBorder="1" applyAlignment="1" applyProtection="1">
      <alignment horizontal="right" vertical="center"/>
      <protection hidden="1"/>
    </xf>
    <xf numFmtId="208" fontId="3" fillId="2" borderId="166" xfId="23" applyNumberFormat="1" applyFont="1" applyFill="1" applyBorder="1" applyAlignment="1" applyProtection="1">
      <alignment horizontal="right" vertical="center"/>
      <protection hidden="1"/>
    </xf>
    <xf numFmtId="208" fontId="3" fillId="2" borderId="205" xfId="23" applyNumberFormat="1" applyFont="1" applyFill="1" applyBorder="1" applyAlignment="1" applyProtection="1">
      <alignment horizontal="right" vertical="center"/>
      <protection hidden="1"/>
    </xf>
    <xf numFmtId="208" fontId="3" fillId="2" borderId="206" xfId="23" applyNumberFormat="1" applyFont="1" applyFill="1" applyBorder="1" applyAlignment="1" applyProtection="1">
      <alignment horizontal="right" vertical="center"/>
      <protection hidden="1"/>
    </xf>
    <xf numFmtId="0" fontId="88" fillId="3" borderId="16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1" fillId="8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/>
      <protection locked="0"/>
    </xf>
    <xf numFmtId="0" fontId="43" fillId="2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vertical="center"/>
      <protection locked="0"/>
    </xf>
    <xf numFmtId="208" fontId="0" fillId="0" borderId="0" xfId="0" applyNumberFormat="1" applyFont="1" applyAlignment="1" applyProtection="1">
      <alignment vertical="center"/>
      <protection locked="0"/>
    </xf>
    <xf numFmtId="0" fontId="0" fillId="2" borderId="0" xfId="0" applyFont="1" applyFill="1" applyAlignment="1" applyProtection="1">
      <alignment horizontal="centerContinuous" vertical="center"/>
      <protection hidden="1"/>
    </xf>
    <xf numFmtId="0" fontId="43" fillId="2" borderId="0" xfId="0" applyFont="1" applyFill="1" applyAlignment="1" applyProtection="1">
      <alignment horizontal="center"/>
      <protection hidden="1"/>
    </xf>
    <xf numFmtId="195" fontId="3" fillId="2" borderId="0" xfId="2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45" fillId="2" borderId="39" xfId="0" applyFont="1" applyFill="1" applyBorder="1" applyAlignment="1" applyProtection="1">
      <alignment horizontal="center" vertical="center"/>
      <protection hidden="1"/>
    </xf>
    <xf numFmtId="0" fontId="45" fillId="2" borderId="196" xfId="0" applyFont="1" applyFill="1" applyBorder="1" applyAlignment="1" applyProtection="1">
      <alignment horizontal="center" vertical="center"/>
      <protection hidden="1"/>
    </xf>
    <xf numFmtId="0" fontId="45" fillId="2" borderId="83" xfId="0" applyFont="1" applyFill="1" applyBorder="1" applyAlignment="1" applyProtection="1">
      <alignment horizontal="center" vertical="center"/>
      <protection hidden="1"/>
    </xf>
    <xf numFmtId="0" fontId="45" fillId="2" borderId="3" xfId="0" applyFont="1" applyFill="1" applyBorder="1" applyAlignment="1" applyProtection="1">
      <alignment horizontal="center" vertical="center"/>
      <protection hidden="1"/>
    </xf>
    <xf numFmtId="0" fontId="45" fillId="6" borderId="0" xfId="0" applyFont="1" applyFill="1" applyBorder="1" applyAlignment="1" applyProtection="1">
      <alignment horizontal="center" vertical="center"/>
      <protection hidden="1"/>
    </xf>
    <xf numFmtId="183" fontId="3" fillId="2" borderId="207" xfId="23" applyFont="1" applyFill="1" applyBorder="1" applyAlignment="1" applyProtection="1">
      <alignment horizontal="centerContinuous" vertical="center"/>
      <protection hidden="1"/>
    </xf>
    <xf numFmtId="183" fontId="3" fillId="2" borderId="99" xfId="23" applyFont="1" applyFill="1" applyBorder="1" applyAlignment="1" applyProtection="1">
      <alignment horizontal="centerContinuous" vertical="center"/>
      <protection hidden="1"/>
    </xf>
    <xf numFmtId="208" fontId="3" fillId="2" borderId="107" xfId="20" applyNumberFormat="1" applyFont="1" applyFill="1" applyBorder="1" applyAlignment="1" applyProtection="1">
      <alignment vertical="center"/>
      <protection hidden="1"/>
    </xf>
    <xf numFmtId="183" fontId="3" fillId="2" borderId="175" xfId="23" applyFont="1" applyFill="1" applyBorder="1" applyAlignment="1" applyProtection="1">
      <alignment horizontal="centerContinuous" vertical="center"/>
      <protection hidden="1"/>
    </xf>
    <xf numFmtId="183" fontId="3" fillId="2" borderId="1" xfId="23" applyFont="1" applyFill="1" applyBorder="1" applyAlignment="1" applyProtection="1">
      <alignment horizontal="centerContinuous" vertical="center"/>
      <protection hidden="1"/>
    </xf>
    <xf numFmtId="208" fontId="3" fillId="2" borderId="29" xfId="20" applyNumberFormat="1" applyFont="1" applyFill="1" applyBorder="1" applyAlignment="1" applyProtection="1">
      <alignment vertical="center"/>
      <protection hidden="1"/>
    </xf>
    <xf numFmtId="208" fontId="3" fillId="2" borderId="175" xfId="23" applyNumberFormat="1" applyFont="1" applyFill="1" applyBorder="1" applyAlignment="1" applyProtection="1">
      <alignment horizontal="right" vertical="center"/>
      <protection hidden="1"/>
    </xf>
    <xf numFmtId="208" fontId="3" fillId="2" borderId="1" xfId="23" applyNumberFormat="1" applyFont="1" applyFill="1" applyBorder="1" applyAlignment="1" applyProtection="1">
      <alignment horizontal="centerContinuous" vertical="center"/>
      <protection hidden="1"/>
    </xf>
    <xf numFmtId="208" fontId="41" fillId="2" borderId="171" xfId="20" applyNumberFormat="1" applyFont="1" applyFill="1" applyBorder="1" applyAlignment="1" applyProtection="1">
      <alignment vertical="center"/>
      <protection hidden="1"/>
    </xf>
    <xf numFmtId="208" fontId="41" fillId="2" borderId="167" xfId="20" applyNumberFormat="1" applyFont="1" applyFill="1" applyBorder="1" applyAlignment="1" applyProtection="1">
      <alignment vertical="center"/>
      <protection hidden="1"/>
    </xf>
    <xf numFmtId="208" fontId="41" fillId="2" borderId="35" xfId="2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Continuous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72" fillId="0" borderId="40" xfId="0" applyFont="1" applyBorder="1" applyAlignment="1" applyProtection="1">
      <alignment horizontal="centerContinuous" vertical="center"/>
      <protection hidden="1"/>
    </xf>
    <xf numFmtId="0" fontId="15" fillId="0" borderId="37" xfId="0" applyFont="1" applyBorder="1" applyAlignment="1" applyProtection="1">
      <alignment horizontal="centerContinuous" vertical="center"/>
      <protection hidden="1"/>
    </xf>
    <xf numFmtId="0" fontId="15" fillId="0" borderId="208" xfId="0" applyFont="1" applyBorder="1" applyAlignment="1" applyProtection="1">
      <alignment horizontal="centerContinuous" vertical="center"/>
      <protection hidden="1"/>
    </xf>
    <xf numFmtId="0" fontId="15" fillId="0" borderId="209" xfId="0" applyFont="1" applyBorder="1" applyAlignment="1" applyProtection="1">
      <alignment horizontal="centerContinuous" vertical="center"/>
      <protection hidden="1"/>
    </xf>
    <xf numFmtId="0" fontId="3" fillId="6" borderId="0" xfId="0" applyFont="1" applyFill="1" applyBorder="1" applyAlignment="1" applyProtection="1">
      <alignment horizontal="center" vertical="center"/>
      <protection hidden="1"/>
    </xf>
    <xf numFmtId="0" fontId="37" fillId="0" borderId="101" xfId="0" applyFont="1" applyBorder="1" applyAlignment="1" applyProtection="1">
      <alignment horizontal="center" vertical="center"/>
      <protection hidden="1"/>
    </xf>
    <xf numFmtId="183" fontId="3" fillId="0" borderId="175" xfId="0" applyNumberFormat="1" applyFont="1" applyBorder="1" applyAlignment="1" applyProtection="1">
      <alignment horizontal="center" vertical="center"/>
      <protection hidden="1"/>
    </xf>
    <xf numFmtId="183" fontId="3" fillId="0" borderId="1" xfId="0" applyNumberFormat="1" applyFont="1" applyBorder="1" applyAlignment="1" applyProtection="1">
      <alignment horizontal="center" vertical="center"/>
      <protection hidden="1"/>
    </xf>
    <xf numFmtId="183" fontId="3" fillId="0" borderId="29" xfId="0" applyNumberFormat="1" applyFont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7" fillId="0" borderId="210" xfId="0" applyFont="1" applyBorder="1" applyAlignment="1" applyProtection="1">
      <alignment horizontal="center" vertical="center"/>
      <protection hidden="1"/>
    </xf>
    <xf numFmtId="183" fontId="3" fillId="0" borderId="211" xfId="0" applyNumberFormat="1" applyFont="1" applyBorder="1" applyAlignment="1" applyProtection="1">
      <alignment horizontal="center" vertical="center"/>
      <protection hidden="1"/>
    </xf>
    <xf numFmtId="183" fontId="3" fillId="0" borderId="184" xfId="0" applyNumberFormat="1" applyFont="1" applyBorder="1" applyAlignment="1" applyProtection="1">
      <alignment horizontal="center" vertical="center"/>
      <protection hidden="1"/>
    </xf>
    <xf numFmtId="183" fontId="3" fillId="0" borderId="212" xfId="0" applyNumberFormat="1" applyFont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183" fontId="16" fillId="2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90" fillId="2" borderId="0" xfId="0" applyFont="1" applyFill="1" applyAlignment="1" applyProtection="1">
      <alignment horizontal="centerContinuous" vertical="center"/>
      <protection hidden="1"/>
    </xf>
    <xf numFmtId="183" fontId="3" fillId="0" borderId="90" xfId="0" applyNumberFormat="1" applyFont="1" applyBorder="1" applyAlignment="1" applyProtection="1">
      <alignment horizontal="center" vertical="center"/>
      <protection hidden="1"/>
    </xf>
    <xf numFmtId="0" fontId="72" fillId="0" borderId="208" xfId="0" applyFont="1" applyBorder="1" applyAlignment="1" applyProtection="1">
      <alignment horizontal="centerContinuous" vertical="center"/>
      <protection hidden="1"/>
    </xf>
    <xf numFmtId="183" fontId="3" fillId="0" borderId="32" xfId="0" applyNumberFormat="1" applyFont="1" applyBorder="1" applyAlignment="1" applyProtection="1">
      <alignment horizontal="center" vertical="center"/>
      <protection hidden="1"/>
    </xf>
    <xf numFmtId="0" fontId="15" fillId="6" borderId="213" xfId="0" applyFont="1" applyFill="1" applyBorder="1" applyAlignment="1" applyProtection="1">
      <alignment horizontal="center" vertical="center"/>
      <protection hidden="1"/>
    </xf>
    <xf numFmtId="0" fontId="3" fillId="6" borderId="213" xfId="0" applyFont="1" applyFill="1" applyBorder="1" applyAlignment="1" applyProtection="1">
      <alignment horizontal="center" vertical="center"/>
      <protection hidden="1"/>
    </xf>
    <xf numFmtId="0" fontId="15" fillId="0" borderId="214" xfId="0" applyFont="1" applyBorder="1" applyAlignment="1" applyProtection="1">
      <alignment horizontal="center" vertical="center"/>
      <protection hidden="1"/>
    </xf>
    <xf numFmtId="0" fontId="15" fillId="0" borderId="188" xfId="0" applyFont="1" applyBorder="1" applyAlignment="1" applyProtection="1">
      <alignment horizontal="center" vertical="center"/>
      <protection hidden="1"/>
    </xf>
    <xf numFmtId="0" fontId="15" fillId="0" borderId="215" xfId="0" applyFont="1" applyBorder="1" applyAlignment="1" applyProtection="1">
      <alignment horizontal="center" vertical="center"/>
      <protection hidden="1"/>
    </xf>
    <xf numFmtId="0" fontId="37" fillId="0" borderId="155" xfId="0" applyFont="1" applyBorder="1" applyAlignment="1" applyProtection="1">
      <alignment horizontal="center" vertical="center"/>
      <protection hidden="1"/>
    </xf>
    <xf numFmtId="0" fontId="3" fillId="6" borderId="216" xfId="0" applyFont="1" applyFill="1" applyBorder="1" applyAlignment="1" applyProtection="1">
      <alignment horizontal="center" vertical="center"/>
      <protection hidden="1"/>
    </xf>
    <xf numFmtId="0" fontId="37" fillId="0" borderId="217" xfId="0" applyFont="1" applyBorder="1" applyAlignment="1" applyProtection="1">
      <alignment horizontal="center" vertical="center"/>
      <protection hidden="1"/>
    </xf>
    <xf numFmtId="183" fontId="3" fillId="0" borderId="214" xfId="0" applyNumberFormat="1" applyFont="1" applyBorder="1" applyAlignment="1" applyProtection="1">
      <alignment horizontal="center" vertical="center"/>
      <protection hidden="1"/>
    </xf>
    <xf numFmtId="183" fontId="3" fillId="0" borderId="188" xfId="0" applyNumberFormat="1" applyFont="1" applyBorder="1" applyAlignment="1" applyProtection="1">
      <alignment horizontal="center" vertical="center"/>
      <protection hidden="1"/>
    </xf>
    <xf numFmtId="183" fontId="3" fillId="0" borderId="215" xfId="0" applyNumberFormat="1" applyFont="1" applyBorder="1" applyAlignment="1" applyProtection="1">
      <alignment horizontal="center" vertical="center"/>
      <protection hidden="1"/>
    </xf>
    <xf numFmtId="0" fontId="37" fillId="2" borderId="0" xfId="0" applyFont="1" applyFill="1" applyBorder="1" applyAlignment="1" applyProtection="1">
      <alignment horizontal="center" vertical="center"/>
      <protection hidden="1"/>
    </xf>
    <xf numFmtId="0" fontId="37" fillId="6" borderId="216" xfId="0" applyFont="1" applyFill="1" applyBorder="1" applyAlignment="1" applyProtection="1">
      <alignment horizontal="center" vertical="center"/>
      <protection hidden="1"/>
    </xf>
    <xf numFmtId="183" fontId="3" fillId="0" borderId="187" xfId="0" applyNumberFormat="1" applyFont="1" applyBorder="1" applyAlignment="1" applyProtection="1">
      <alignment horizontal="center" vertical="center"/>
      <protection hidden="1"/>
    </xf>
    <xf numFmtId="183" fontId="3" fillId="0" borderId="218" xfId="0" applyNumberFormat="1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80" xfId="0" applyFont="1" applyBorder="1" applyAlignment="1" applyProtection="1">
      <alignment horizontal="center" vertical="center"/>
      <protection hidden="1"/>
    </xf>
    <xf numFmtId="0" fontId="15" fillId="0" borderId="112" xfId="0" applyFont="1" applyBorder="1" applyAlignment="1" applyProtection="1">
      <alignment horizontal="center" vertical="center"/>
      <protection hidden="1"/>
    </xf>
    <xf numFmtId="183" fontId="3" fillId="0" borderId="219" xfId="0" applyNumberFormat="1" applyFont="1" applyBorder="1" applyAlignment="1" applyProtection="1">
      <alignment horizontal="center" vertical="center"/>
      <protection hidden="1"/>
    </xf>
    <xf numFmtId="183" fontId="3" fillId="0" borderId="220" xfId="0" applyNumberFormat="1" applyFont="1" applyBorder="1" applyAlignment="1" applyProtection="1">
      <alignment horizontal="center" vertical="center"/>
      <protection hidden="1"/>
    </xf>
    <xf numFmtId="0" fontId="3" fillId="6" borderId="221" xfId="0" applyFont="1" applyFill="1" applyBorder="1" applyAlignment="1" applyProtection="1">
      <alignment horizontal="center" vertical="center"/>
      <protection hidden="1"/>
    </xf>
    <xf numFmtId="49" fontId="91" fillId="2" borderId="0" xfId="0" applyNumberFormat="1" applyFont="1" applyFill="1" applyAlignment="1">
      <alignment/>
    </xf>
    <xf numFmtId="188" fontId="92" fillId="2" borderId="0" xfId="0" applyNumberFormat="1" applyFont="1" applyFill="1" applyAlignment="1">
      <alignment horizontal="centerContinuous" vertical="center"/>
    </xf>
    <xf numFmtId="0" fontId="59" fillId="2" borderId="0" xfId="0" applyFont="1" applyFill="1" applyAlignment="1">
      <alignment horizontal="centerContinuous" vertical="center"/>
    </xf>
    <xf numFmtId="0" fontId="94" fillId="2" borderId="0" xfId="0" applyFont="1" applyFill="1" applyAlignment="1">
      <alignment horizontal="centerContinuous" vertical="center"/>
    </xf>
    <xf numFmtId="0" fontId="95" fillId="2" borderId="0" xfId="0" applyFont="1" applyFill="1" applyAlignment="1">
      <alignment horizontal="centerContinuous" vertical="center"/>
    </xf>
    <xf numFmtId="0" fontId="93" fillId="2" borderId="0" xfId="0" applyFont="1" applyFill="1" applyAlignment="1" applyProtection="1">
      <alignment horizontal="centerContinuous" vertical="center"/>
      <protection hidden="1"/>
    </xf>
    <xf numFmtId="0" fontId="95" fillId="2" borderId="0" xfId="0" applyFont="1" applyFill="1" applyAlignment="1" applyProtection="1">
      <alignment horizontal="centerContinuous" vertical="center"/>
      <protection hidden="1"/>
    </xf>
    <xf numFmtId="0" fontId="0" fillId="0" borderId="0" xfId="0" applyAlignment="1">
      <alignment horizontal="centerContinuous" vertical="center"/>
    </xf>
    <xf numFmtId="49" fontId="91" fillId="2" borderId="0" xfId="0" applyNumberFormat="1" applyFont="1" applyFill="1" applyAlignment="1">
      <alignment horizontal="center" vertical="center"/>
    </xf>
    <xf numFmtId="183" fontId="3" fillId="0" borderId="207" xfId="0" applyNumberFormat="1" applyFont="1" applyBorder="1" applyAlignment="1" applyProtection="1">
      <alignment horizontal="center" vertical="center"/>
      <protection hidden="1"/>
    </xf>
    <xf numFmtId="183" fontId="3" fillId="0" borderId="99" xfId="0" applyNumberFormat="1" applyFont="1" applyBorder="1" applyAlignment="1" applyProtection="1">
      <alignment horizontal="center" vertical="center"/>
      <protection hidden="1"/>
    </xf>
    <xf numFmtId="183" fontId="3" fillId="0" borderId="106" xfId="0" applyNumberFormat="1" applyFont="1" applyBorder="1" applyAlignment="1" applyProtection="1">
      <alignment horizontal="center" vertical="center"/>
      <protection hidden="1"/>
    </xf>
    <xf numFmtId="183" fontId="3" fillId="0" borderId="190" xfId="0" applyNumberFormat="1" applyFont="1" applyBorder="1" applyAlignment="1" applyProtection="1">
      <alignment horizontal="center" vertical="center"/>
      <protection hidden="1"/>
    </xf>
    <xf numFmtId="183" fontId="3" fillId="0" borderId="107" xfId="0" applyNumberFormat="1" applyFont="1" applyBorder="1" applyAlignment="1" applyProtection="1">
      <alignment horizontal="center" vertical="center"/>
      <protection hidden="1"/>
    </xf>
    <xf numFmtId="0" fontId="37" fillId="0" borderId="0" xfId="0" applyFont="1" applyAlignment="1">
      <alignment horizontal="centerContinuous"/>
    </xf>
    <xf numFmtId="0" fontId="37" fillId="2" borderId="0" xfId="0" applyFont="1" applyFill="1" applyBorder="1" applyAlignment="1">
      <alignment horizontal="centerContinuous"/>
    </xf>
    <xf numFmtId="0" fontId="38" fillId="2" borderId="0" xfId="0" applyFont="1" applyFill="1" applyBorder="1" applyAlignment="1">
      <alignment horizontal="centerContinuous"/>
    </xf>
    <xf numFmtId="0" fontId="75" fillId="6" borderId="216" xfId="0" applyFont="1" applyFill="1" applyBorder="1" applyAlignment="1" applyProtection="1">
      <alignment horizontal="centerContinuous" vertical="center"/>
      <protection hidden="1"/>
    </xf>
    <xf numFmtId="0" fontId="0" fillId="6" borderId="216" xfId="0" applyFill="1" applyBorder="1" applyAlignment="1" applyProtection="1">
      <alignment horizontal="centerContinuous" vertical="center"/>
      <protection hidden="1"/>
    </xf>
    <xf numFmtId="0" fontId="79" fillId="6" borderId="216" xfId="0" applyFont="1" applyFill="1" applyBorder="1" applyAlignment="1" applyProtection="1">
      <alignment horizontal="center" vertical="center"/>
      <protection hidden="1"/>
    </xf>
    <xf numFmtId="0" fontId="75" fillId="6" borderId="21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/>
      <protection locked="0"/>
    </xf>
    <xf numFmtId="0" fontId="45" fillId="6" borderId="51" xfId="0" applyFont="1" applyFill="1" applyBorder="1" applyAlignment="1">
      <alignment horizontal="center" vertical="center"/>
    </xf>
    <xf numFmtId="0" fontId="23" fillId="5" borderId="44" xfId="0" applyNumberFormat="1" applyFont="1" applyFill="1" applyBorder="1" applyAlignment="1">
      <alignment horizontal="center" vertical="center"/>
    </xf>
    <xf numFmtId="208" fontId="3" fillId="0" borderId="47" xfId="23" applyNumberFormat="1" applyFont="1" applyBorder="1" applyAlignment="1">
      <alignment/>
    </xf>
    <xf numFmtId="208" fontId="3" fillId="0" borderId="222" xfId="23" applyNumberFormat="1" applyFont="1" applyBorder="1" applyAlignment="1">
      <alignment/>
    </xf>
    <xf numFmtId="208" fontId="3" fillId="2" borderId="223" xfId="23" applyNumberFormat="1" applyFont="1" applyFill="1" applyBorder="1" applyAlignment="1">
      <alignment/>
    </xf>
    <xf numFmtId="208" fontId="3" fillId="0" borderId="224" xfId="23" applyNumberFormat="1" applyFont="1" applyBorder="1" applyAlignment="1">
      <alignment/>
    </xf>
    <xf numFmtId="208" fontId="3" fillId="0" borderId="225" xfId="23" applyNumberFormat="1" applyFont="1" applyBorder="1" applyAlignment="1">
      <alignment/>
    </xf>
    <xf numFmtId="208" fontId="3" fillId="2" borderId="226" xfId="23" applyNumberFormat="1" applyFont="1" applyFill="1" applyBorder="1" applyAlignment="1">
      <alignment/>
    </xf>
    <xf numFmtId="4" fontId="16" fillId="2" borderId="183" xfId="0" applyNumberFormat="1" applyFont="1" applyFill="1" applyBorder="1" applyAlignment="1">
      <alignment vertical="center"/>
    </xf>
    <xf numFmtId="210" fontId="16" fillId="2" borderId="183" xfId="0" applyNumberFormat="1" applyFont="1" applyFill="1" applyBorder="1" applyAlignment="1">
      <alignment vertical="center"/>
    </xf>
    <xf numFmtId="208" fontId="16" fillId="2" borderId="184" xfId="0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210" fontId="15" fillId="2" borderId="227" xfId="0" applyNumberFormat="1" applyFont="1" applyFill="1" applyBorder="1" applyAlignment="1">
      <alignment horizontal="right" vertical="center"/>
    </xf>
    <xf numFmtId="0" fontId="4" fillId="2" borderId="50" xfId="0" applyFont="1" applyFill="1" applyBorder="1" applyAlignment="1">
      <alignment vertical="center"/>
    </xf>
    <xf numFmtId="0" fontId="4" fillId="2" borderId="190" xfId="0" applyFont="1" applyFill="1" applyBorder="1" applyAlignment="1">
      <alignment vertical="center"/>
    </xf>
    <xf numFmtId="0" fontId="3" fillId="6" borderId="216" xfId="0" applyFont="1" applyFill="1" applyBorder="1" applyAlignment="1">
      <alignment horizontal="center" vertical="center"/>
    </xf>
    <xf numFmtId="0" fontId="4" fillId="6" borderId="216" xfId="0" applyFont="1" applyFill="1" applyBorder="1" applyAlignment="1">
      <alignment horizontal="center" vertical="center"/>
    </xf>
    <xf numFmtId="0" fontId="3" fillId="6" borderId="216" xfId="0" applyFont="1" applyFill="1" applyBorder="1" applyAlignment="1">
      <alignment horizontal="centerContinuous" vertical="center"/>
    </xf>
    <xf numFmtId="188" fontId="7" fillId="2" borderId="0" xfId="0" applyNumberFormat="1" applyFont="1" applyFill="1" applyAlignment="1">
      <alignment horizontal="center" vertical="center"/>
    </xf>
    <xf numFmtId="208" fontId="3" fillId="0" borderId="48" xfId="23" applyNumberFormat="1" applyFont="1" applyBorder="1" applyAlignment="1">
      <alignment/>
    </xf>
    <xf numFmtId="0" fontId="26" fillId="2" borderId="228" xfId="0" applyFont="1" applyFill="1" applyBorder="1" applyAlignment="1">
      <alignment horizontal="center" vertical="center"/>
    </xf>
    <xf numFmtId="208" fontId="3" fillId="0" borderId="229" xfId="23" applyNumberFormat="1" applyFont="1" applyBorder="1" applyAlignment="1">
      <alignment vertical="center"/>
    </xf>
    <xf numFmtId="208" fontId="3" fillId="0" borderId="230" xfId="23" applyNumberFormat="1" applyFont="1" applyBorder="1" applyAlignment="1">
      <alignment vertical="center"/>
    </xf>
    <xf numFmtId="208" fontId="3" fillId="2" borderId="231" xfId="23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Continuous"/>
    </xf>
    <xf numFmtId="0" fontId="40" fillId="2" borderId="0" xfId="0" applyFont="1" applyFill="1" applyAlignment="1">
      <alignment horizontal="centerContinuous" vertical="center"/>
    </xf>
    <xf numFmtId="0" fontId="3" fillId="3" borderId="33" xfId="0" applyFont="1" applyFill="1" applyBorder="1" applyAlignment="1">
      <alignment horizontal="left"/>
    </xf>
    <xf numFmtId="0" fontId="3" fillId="2" borderId="23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16" fillId="2" borderId="186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208" fontId="15" fillId="2" borderId="29" xfId="0" applyNumberFormat="1" applyFont="1" applyFill="1" applyBorder="1" applyAlignment="1">
      <alignment horizontal="right" vertical="center"/>
    </xf>
    <xf numFmtId="208" fontId="3" fillId="2" borderId="1" xfId="0" applyNumberFormat="1" applyFont="1" applyFill="1" applyBorder="1" applyAlignment="1">
      <alignment vertical="center"/>
    </xf>
    <xf numFmtId="208" fontId="3" fillId="2" borderId="183" xfId="0" applyNumberFormat="1" applyFont="1" applyFill="1" applyBorder="1" applyAlignment="1">
      <alignment vertical="center"/>
    </xf>
    <xf numFmtId="4" fontId="29" fillId="2" borderId="233" xfId="0" applyNumberFormat="1" applyFont="1" applyFill="1" applyBorder="1" applyAlignment="1">
      <alignment vertical="center"/>
    </xf>
    <xf numFmtId="4" fontId="29" fillId="2" borderId="192" xfId="0" applyNumberFormat="1" applyFont="1" applyFill="1" applyBorder="1" applyAlignment="1">
      <alignment vertical="center"/>
    </xf>
    <xf numFmtId="4" fontId="15" fillId="2" borderId="192" xfId="0" applyNumberFormat="1" applyFont="1" applyFill="1" applyBorder="1" applyAlignment="1">
      <alignment vertical="center"/>
    </xf>
    <xf numFmtId="210" fontId="29" fillId="2" borderId="233" xfId="0" applyNumberFormat="1" applyFont="1" applyFill="1" applyBorder="1" applyAlignment="1">
      <alignment vertical="center"/>
    </xf>
    <xf numFmtId="4" fontId="29" fillId="2" borderId="234" xfId="0" applyNumberFormat="1" applyFont="1" applyFill="1" applyBorder="1" applyAlignment="1">
      <alignment vertical="center"/>
    </xf>
    <xf numFmtId="208" fontId="29" fillId="2" borderId="235" xfId="0" applyNumberFormat="1" applyFont="1" applyFill="1" applyBorder="1" applyAlignment="1">
      <alignment vertical="center"/>
    </xf>
    <xf numFmtId="0" fontId="15" fillId="2" borderId="107" xfId="0" applyFont="1" applyFill="1" applyBorder="1" applyAlignment="1">
      <alignment vertical="center"/>
    </xf>
    <xf numFmtId="4" fontId="29" fillId="2" borderId="236" xfId="0" applyNumberFormat="1" applyFont="1" applyFill="1" applyBorder="1" applyAlignment="1">
      <alignment vertical="center"/>
    </xf>
    <xf numFmtId="4" fontId="29" fillId="2" borderId="237" xfId="0" applyNumberFormat="1" applyFont="1" applyFill="1" applyBorder="1" applyAlignment="1">
      <alignment vertical="center"/>
    </xf>
    <xf numFmtId="0" fontId="15" fillId="2" borderId="177" xfId="0" applyFont="1" applyFill="1" applyBorder="1" applyAlignment="1">
      <alignment vertical="center"/>
    </xf>
    <xf numFmtId="208" fontId="15" fillId="2" borderId="236" xfId="0" applyNumberFormat="1" applyFont="1" applyFill="1" applyBorder="1" applyAlignment="1">
      <alignment vertical="center"/>
    </xf>
    <xf numFmtId="208" fontId="29" fillId="2" borderId="238" xfId="0" applyNumberFormat="1" applyFont="1" applyFill="1" applyBorder="1" applyAlignment="1">
      <alignment horizontal="right" vertical="center"/>
    </xf>
    <xf numFmtId="216" fontId="0" fillId="2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188" fontId="7" fillId="0" borderId="0" xfId="0" applyNumberFormat="1" applyFont="1" applyFill="1" applyAlignment="1" applyProtection="1">
      <alignment horizontal="center" vertical="center"/>
      <protection hidden="1"/>
    </xf>
    <xf numFmtId="0" fontId="75" fillId="0" borderId="0" xfId="0" applyFont="1" applyFill="1" applyAlignment="1" applyProtection="1">
      <alignment/>
      <protection locked="0"/>
    </xf>
    <xf numFmtId="0" fontId="80" fillId="0" borderId="0" xfId="0" applyFont="1" applyFill="1" applyAlignment="1" applyProtection="1">
      <alignment horizontal="centerContinuous" vertical="center"/>
      <protection locked="0"/>
    </xf>
    <xf numFmtId="0" fontId="75" fillId="0" borderId="39" xfId="0" applyFont="1" applyFill="1" applyBorder="1" applyAlignment="1" applyProtection="1">
      <alignment horizontal="centerContinuous" vertical="center"/>
      <protection hidden="1"/>
    </xf>
    <xf numFmtId="0" fontId="0" fillId="0" borderId="37" xfId="0" applyFill="1" applyBorder="1" applyAlignment="1" applyProtection="1">
      <alignment horizontal="centerContinuous" vertical="center"/>
      <protection hidden="1"/>
    </xf>
    <xf numFmtId="0" fontId="75" fillId="0" borderId="174" xfId="0" applyFont="1" applyFill="1" applyBorder="1" applyAlignment="1" applyProtection="1">
      <alignment horizontal="center" vertical="center"/>
      <protection hidden="1"/>
    </xf>
    <xf numFmtId="0" fontId="75" fillId="0" borderId="155" xfId="0" applyFont="1" applyFill="1" applyBorder="1" applyAlignment="1" applyProtection="1">
      <alignment vertic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0" fillId="0" borderId="193" xfId="0" applyFill="1" applyBorder="1" applyAlignment="1" applyProtection="1">
      <alignment horizontal="center" vertical="center"/>
      <protection hidden="1"/>
    </xf>
    <xf numFmtId="0" fontId="79" fillId="0" borderId="101" xfId="0" applyFont="1" applyFill="1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/>
      <protection hidden="1"/>
    </xf>
    <xf numFmtId="0" fontId="0" fillId="0" borderId="192" xfId="0" applyFill="1" applyBorder="1" applyAlignment="1" applyProtection="1">
      <alignment horizontal="center" vertical="center"/>
      <protection hidden="1"/>
    </xf>
    <xf numFmtId="0" fontId="79" fillId="0" borderId="149" xfId="0" applyFont="1" applyFill="1" applyBorder="1" applyAlignment="1" applyProtection="1">
      <alignment vertical="center"/>
      <protection hidden="1"/>
    </xf>
    <xf numFmtId="0" fontId="0" fillId="0" borderId="49" xfId="0" applyFill="1" applyBorder="1" applyAlignment="1" applyProtection="1">
      <alignment/>
      <protection hidden="1"/>
    </xf>
    <xf numFmtId="0" fontId="0" fillId="0" borderId="205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15" fillId="0" borderId="0" xfId="0" applyFont="1" applyFill="1" applyAlignment="1">
      <alignment/>
    </xf>
    <xf numFmtId="208" fontId="3" fillId="0" borderId="0" xfId="0" applyNumberFormat="1" applyFont="1" applyFill="1" applyAlignment="1">
      <alignment/>
    </xf>
    <xf numFmtId="0" fontId="8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7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75" fillId="2" borderId="155" xfId="0" applyFont="1" applyFill="1" applyBorder="1" applyAlignment="1">
      <alignment horizontal="center" vertical="center"/>
    </xf>
    <xf numFmtId="0" fontId="75" fillId="2" borderId="169" xfId="0" applyFont="1" applyFill="1" applyBorder="1" applyAlignment="1">
      <alignment horizontal="center" vertical="center"/>
    </xf>
    <xf numFmtId="0" fontId="75" fillId="2" borderId="64" xfId="0" applyFont="1" applyFill="1" applyBorder="1" applyAlignment="1">
      <alignment horizontal="center" vertical="center"/>
    </xf>
    <xf numFmtId="0" fontId="75" fillId="2" borderId="169" xfId="0" applyFont="1" applyFill="1" applyBorder="1" applyAlignment="1" applyProtection="1">
      <alignment horizontal="center" vertical="center"/>
      <protection locked="0"/>
    </xf>
    <xf numFmtId="0" fontId="86" fillId="2" borderId="239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horizontal="centerContinuous" vertical="center"/>
    </xf>
    <xf numFmtId="195" fontId="3" fillId="0" borderId="0" xfId="20" applyNumberFormat="1" applyFont="1" applyFill="1" applyBorder="1" applyAlignment="1" applyProtection="1">
      <alignment horizontal="centerContinuous" vertical="center"/>
      <protection hidden="1"/>
    </xf>
    <xf numFmtId="195" fontId="3" fillId="0" borderId="0" xfId="2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183" fontId="45" fillId="0" borderId="37" xfId="23" applyFont="1" applyFill="1" applyBorder="1" applyAlignment="1">
      <alignment vertical="center"/>
    </xf>
    <xf numFmtId="183" fontId="45" fillId="0" borderId="0" xfId="23" applyFont="1" applyFill="1" applyAlignment="1">
      <alignment vertical="center"/>
    </xf>
    <xf numFmtId="183" fontId="45" fillId="0" borderId="0" xfId="23" applyFont="1" applyFill="1" applyAlignment="1">
      <alignment/>
    </xf>
    <xf numFmtId="0" fontId="75" fillId="2" borderId="240" xfId="0" applyFont="1" applyFill="1" applyBorder="1" applyAlignment="1" applyProtection="1">
      <alignment/>
      <protection hidden="1"/>
    </xf>
    <xf numFmtId="0" fontId="75" fillId="2" borderId="169" xfId="0" applyFont="1" applyFill="1" applyBorder="1" applyAlignment="1" applyProtection="1">
      <alignment/>
      <protection hidden="1"/>
    </xf>
    <xf numFmtId="0" fontId="0" fillId="2" borderId="149" xfId="0" applyFont="1" applyFill="1" applyBorder="1" applyAlignment="1" applyProtection="1">
      <alignment horizontal="center" vertical="center"/>
      <protection hidden="1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221" fontId="0" fillId="0" borderId="0" xfId="0" applyNumberFormat="1" applyFill="1" applyAlignment="1">
      <alignment/>
    </xf>
    <xf numFmtId="0" fontId="13" fillId="2" borderId="65" xfId="16" applyFont="1" applyFill="1" applyBorder="1" applyAlignment="1">
      <alignment horizontal="center" vertical="center"/>
      <protection/>
    </xf>
    <xf numFmtId="0" fontId="3" fillId="2" borderId="241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2" fillId="2" borderId="242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97" fillId="2" borderId="0" xfId="0" applyFont="1" applyFill="1" applyAlignment="1">
      <alignment horizontal="left" vertical="center"/>
    </xf>
    <xf numFmtId="0" fontId="15" fillId="2" borderId="149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188" fontId="7" fillId="8" borderId="0" xfId="0" applyNumberFormat="1" applyFont="1" applyFill="1" applyAlignment="1">
      <alignment horizontal="center" vertical="center"/>
    </xf>
    <xf numFmtId="0" fontId="77" fillId="8" borderId="0" xfId="0" applyFont="1" applyFill="1" applyAlignment="1">
      <alignment horizontal="center" vertical="center"/>
    </xf>
    <xf numFmtId="0" fontId="3" fillId="2" borderId="39" xfId="16" applyFont="1" applyFill="1" applyBorder="1" applyAlignment="1">
      <alignment horizontal="center" vertical="center"/>
      <protection/>
    </xf>
    <xf numFmtId="0" fontId="13" fillId="2" borderId="73" xfId="16" applyFill="1" applyBorder="1" applyAlignment="1">
      <alignment horizontal="center" vertical="center"/>
      <protection/>
    </xf>
    <xf numFmtId="0" fontId="4" fillId="2" borderId="37" xfId="16" applyFont="1" applyFill="1" applyBorder="1" applyAlignment="1">
      <alignment horizontal="center" vertical="center"/>
      <protection/>
    </xf>
    <xf numFmtId="0" fontId="16" fillId="2" borderId="149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196" fontId="48" fillId="2" borderId="0" xfId="16" applyNumberFormat="1" applyFont="1" applyFill="1" applyAlignment="1">
      <alignment horizontal="left" vertical="center"/>
      <protection/>
    </xf>
    <xf numFmtId="0" fontId="52" fillId="2" borderId="0" xfId="16" applyFont="1" applyFill="1" applyAlignment="1">
      <alignment horizontal="center"/>
      <protection/>
    </xf>
    <xf numFmtId="0" fontId="2" fillId="2" borderId="37" xfId="16" applyFont="1" applyFill="1" applyBorder="1" applyAlignment="1">
      <alignment horizontal="center" vertical="center"/>
      <protection/>
    </xf>
    <xf numFmtId="0" fontId="13" fillId="2" borderId="65" xfId="16" applyFill="1" applyBorder="1" applyAlignment="1">
      <alignment horizontal="center" vertical="center"/>
      <protection/>
    </xf>
    <xf numFmtId="0" fontId="77" fillId="3" borderId="0" xfId="0" applyFont="1" applyFill="1" applyAlignment="1">
      <alignment horizontal="center" vertical="center"/>
    </xf>
    <xf numFmtId="221" fontId="0" fillId="0" borderId="0" xfId="0" applyNumberFormat="1" applyFill="1" applyAlignment="1">
      <alignment horizontal="center"/>
    </xf>
    <xf numFmtId="211" fontId="3" fillId="0" borderId="0" xfId="0" applyNumberFormat="1" applyFont="1" applyFill="1" applyAlignment="1">
      <alignment horizontal="center" vertical="center"/>
    </xf>
    <xf numFmtId="0" fontId="16" fillId="2" borderId="243" xfId="0" applyFont="1" applyFill="1" applyBorder="1" applyAlignment="1">
      <alignment horizontal="center" vertical="center"/>
    </xf>
    <xf numFmtId="0" fontId="16" fillId="2" borderId="220" xfId="0" applyFont="1" applyFill="1" applyBorder="1" applyAlignment="1">
      <alignment horizontal="center" vertical="center"/>
    </xf>
    <xf numFmtId="0" fontId="16" fillId="2" borderId="24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6" xfId="0" applyFont="1" applyFill="1" applyBorder="1" applyAlignment="1">
      <alignment horizontal="center" vertical="center"/>
    </xf>
    <xf numFmtId="0" fontId="3" fillId="2" borderId="245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4" fontId="0" fillId="0" borderId="33" xfId="0" applyNumberFormat="1" applyFill="1" applyBorder="1" applyAlignment="1" applyProtection="1">
      <alignment horizontal="right" vertical="center"/>
      <protection hidden="1"/>
    </xf>
    <xf numFmtId="4" fontId="0" fillId="0" borderId="32" xfId="0" applyNumberFormat="1" applyFill="1" applyBorder="1" applyAlignment="1" applyProtection="1">
      <alignment horizontal="right" vertical="center"/>
      <protection hidden="1"/>
    </xf>
    <xf numFmtId="4" fontId="0" fillId="0" borderId="90" xfId="0" applyNumberFormat="1" applyFill="1" applyBorder="1" applyAlignment="1" applyProtection="1">
      <alignment horizontal="right" vertical="center"/>
      <protection hidden="1"/>
    </xf>
    <xf numFmtId="4" fontId="0" fillId="0" borderId="246" xfId="0" applyNumberFormat="1" applyFill="1" applyBorder="1" applyAlignment="1" applyProtection="1">
      <alignment horizontal="right" vertical="center"/>
      <protection hidden="1"/>
    </xf>
    <xf numFmtId="4" fontId="0" fillId="0" borderId="171" xfId="0" applyNumberFormat="1" applyFill="1" applyBorder="1" applyAlignment="1" applyProtection="1">
      <alignment horizontal="right" vertical="center"/>
      <protection hidden="1"/>
    </xf>
    <xf numFmtId="4" fontId="0" fillId="0" borderId="247" xfId="0" applyNumberFormat="1" applyFill="1" applyBorder="1" applyAlignment="1" applyProtection="1">
      <alignment horizontal="right" vertical="center"/>
      <protection hidden="1"/>
    </xf>
    <xf numFmtId="4" fontId="0" fillId="0" borderId="248" xfId="0" applyNumberFormat="1" applyFill="1" applyBorder="1" applyAlignment="1" applyProtection="1">
      <alignment horizontal="right" vertical="center"/>
      <protection hidden="1"/>
    </xf>
    <xf numFmtId="4" fontId="0" fillId="0" borderId="249" xfId="0" applyNumberFormat="1" applyFill="1" applyBorder="1" applyAlignment="1" applyProtection="1">
      <alignment horizontal="right" vertical="center"/>
      <protection hidden="1"/>
    </xf>
    <xf numFmtId="188" fontId="7" fillId="0" borderId="0" xfId="0" applyNumberFormat="1" applyFont="1" applyFill="1" applyAlignment="1" applyProtection="1">
      <alignment horizontal="center" vertical="center"/>
      <protection hidden="1"/>
    </xf>
    <xf numFmtId="4" fontId="0" fillId="0" borderId="162" xfId="0" applyNumberFormat="1" applyFill="1" applyBorder="1" applyAlignment="1" applyProtection="1">
      <alignment horizontal="right" vertical="center"/>
      <protection hidden="1"/>
    </xf>
    <xf numFmtId="4" fontId="0" fillId="0" borderId="50" xfId="0" applyNumberFormat="1" applyFill="1" applyBorder="1" applyAlignment="1" applyProtection="1">
      <alignment horizontal="right" vertical="center"/>
      <protection hidden="1"/>
    </xf>
    <xf numFmtId="4" fontId="0" fillId="0" borderId="106" xfId="0" applyNumberFormat="1" applyFill="1" applyBorder="1" applyAlignment="1" applyProtection="1">
      <alignment horizontal="right" vertical="center"/>
      <protection hidden="1"/>
    </xf>
    <xf numFmtId="4" fontId="0" fillId="0" borderId="60" xfId="0" applyNumberFormat="1" applyFill="1" applyBorder="1" applyAlignment="1" applyProtection="1">
      <alignment horizontal="right" vertical="center"/>
      <protection hidden="1"/>
    </xf>
    <xf numFmtId="0" fontId="77" fillId="0" borderId="0" xfId="0" applyFont="1" applyFill="1" applyAlignment="1" applyProtection="1">
      <alignment horizontal="center" vertical="center"/>
      <protection hidden="1"/>
    </xf>
    <xf numFmtId="0" fontId="75" fillId="0" borderId="0" xfId="0" applyFont="1" applyFill="1" applyAlignment="1" applyProtection="1">
      <alignment horizontal="center" vertical="center"/>
      <protection locked="0"/>
    </xf>
    <xf numFmtId="0" fontId="79" fillId="0" borderId="0" xfId="0" applyFont="1" applyFill="1" applyAlignment="1" applyProtection="1">
      <alignment horizontal="center" vertical="center"/>
      <protection locked="0"/>
    </xf>
    <xf numFmtId="0" fontId="75" fillId="0" borderId="37" xfId="0" applyFont="1" applyFill="1" applyBorder="1" applyAlignment="1" applyProtection="1">
      <alignment horizontal="center" vertical="center"/>
      <protection hidden="1"/>
    </xf>
    <xf numFmtId="0" fontId="75" fillId="0" borderId="104" xfId="0" applyFont="1" applyFill="1" applyBorder="1" applyAlignment="1" applyProtection="1">
      <alignment horizontal="center" vertical="center"/>
      <protection hidden="1"/>
    </xf>
    <xf numFmtId="0" fontId="75" fillId="0" borderId="57" xfId="0" applyFont="1" applyFill="1" applyBorder="1" applyAlignment="1" applyProtection="1">
      <alignment horizontal="center" vertical="center"/>
      <protection hidden="1"/>
    </xf>
    <xf numFmtId="211" fontId="3" fillId="0" borderId="0" xfId="0" applyNumberFormat="1" applyFont="1" applyFill="1" applyAlignment="1" applyProtection="1">
      <alignment horizontal="center" vertical="center"/>
      <protection hidden="1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246" xfId="0" applyFill="1" applyBorder="1" applyAlignment="1">
      <alignment horizontal="center" vertical="center"/>
    </xf>
    <xf numFmtId="0" fontId="0" fillId="2" borderId="171" xfId="0" applyFill="1" applyBorder="1" applyAlignment="1">
      <alignment horizontal="center" vertical="center"/>
    </xf>
    <xf numFmtId="0" fontId="0" fillId="2" borderId="247" xfId="0" applyFill="1" applyBorder="1" applyAlignment="1">
      <alignment horizontal="center" vertical="center"/>
    </xf>
    <xf numFmtId="0" fontId="0" fillId="2" borderId="248" xfId="0" applyFill="1" applyBorder="1" applyAlignment="1">
      <alignment horizontal="center" vertical="center"/>
    </xf>
    <xf numFmtId="0" fontId="0" fillId="2" borderId="249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62" xfId="0" applyFill="1" applyBorder="1" applyAlignment="1">
      <alignment horizontal="center" vertical="center"/>
    </xf>
    <xf numFmtId="0" fontId="0" fillId="2" borderId="190" xfId="0" applyFill="1" applyBorder="1" applyAlignment="1">
      <alignment horizontal="center" vertical="center"/>
    </xf>
    <xf numFmtId="0" fontId="0" fillId="2" borderId="10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3" fillId="2" borderId="250" xfId="0" applyFont="1" applyFill="1" applyBorder="1" applyAlignment="1">
      <alignment horizontal="center" vertical="center"/>
    </xf>
    <xf numFmtId="0" fontId="3" fillId="2" borderId="25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2" fillId="2" borderId="251" xfId="0" applyFont="1" applyFill="1" applyBorder="1" applyAlignment="1">
      <alignment horizontal="center" vertical="center"/>
    </xf>
    <xf numFmtId="0" fontId="2" fillId="2" borderId="252" xfId="0" applyFont="1" applyFill="1" applyBorder="1" applyAlignment="1">
      <alignment horizontal="center" vertical="center"/>
    </xf>
    <xf numFmtId="0" fontId="3" fillId="2" borderId="253" xfId="0" applyFont="1" applyFill="1" applyBorder="1" applyAlignment="1">
      <alignment horizontal="center" vertical="center"/>
    </xf>
    <xf numFmtId="188" fontId="7" fillId="8" borderId="0" xfId="0" applyNumberFormat="1" applyFont="1" applyFill="1" applyAlignment="1" applyProtection="1">
      <alignment horizontal="center" vertical="center"/>
      <protection hidden="1"/>
    </xf>
    <xf numFmtId="0" fontId="77" fillId="8" borderId="0" xfId="0" applyFont="1" applyFill="1" applyAlignment="1" applyProtection="1">
      <alignment horizontal="center" vertical="center"/>
      <protection hidden="1"/>
    </xf>
    <xf numFmtId="0" fontId="64" fillId="2" borderId="0" xfId="0" applyFont="1" applyFill="1" applyAlignment="1">
      <alignment horizontal="center"/>
    </xf>
    <xf numFmtId="0" fontId="71" fillId="2" borderId="0" xfId="0" applyFont="1" applyFill="1" applyAlignment="1">
      <alignment horizontal="center"/>
    </xf>
    <xf numFmtId="0" fontId="96" fillId="8" borderId="0" xfId="0" applyFont="1" applyFill="1" applyAlignment="1" applyProtection="1">
      <alignment horizontal="center" vertical="center"/>
      <protection hidden="1"/>
    </xf>
    <xf numFmtId="0" fontId="72" fillId="0" borderId="4" xfId="0" applyFont="1" applyBorder="1" applyAlignment="1" applyProtection="1">
      <alignment horizontal="center" vertical="center" textRotation="255"/>
      <protection hidden="1"/>
    </xf>
    <xf numFmtId="0" fontId="72" fillId="0" borderId="254" xfId="0" applyFont="1" applyBorder="1" applyAlignment="1" applyProtection="1">
      <alignment horizontal="center" vertical="center" textRotation="255"/>
      <protection hidden="1"/>
    </xf>
  </cellXfs>
  <cellStyles count="12">
    <cellStyle name="Normal" xfId="0"/>
    <cellStyle name="Comma_Sheet1" xfId="15"/>
    <cellStyle name="Normal_Sheet1" xfId="16"/>
    <cellStyle name="Normal_打印" xfId="17"/>
    <cellStyle name="Percent" xfId="18"/>
    <cellStyle name="超级链接_04储运总账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440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176</xdr:row>
      <xdr:rowOff>0</xdr:rowOff>
    </xdr:from>
    <xdr:to>
      <xdr:col>7</xdr:col>
      <xdr:colOff>0</xdr:colOff>
      <xdr:row>177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705475" y="7877175"/>
          <a:ext cx="13335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504825</xdr:colOff>
      <xdr:row>4</xdr:row>
      <xdr:rowOff>104775</xdr:rowOff>
    </xdr:from>
    <xdr:to>
      <xdr:col>15</xdr:col>
      <xdr:colOff>666750</xdr:colOff>
      <xdr:row>10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11982450" y="742950"/>
          <a:ext cx="1533525" cy="1076325"/>
        </a:xfrm>
        <a:prstGeom prst="cloudCallout">
          <a:avLst>
            <a:gd name="adj1" fmla="val -138819"/>
            <a:gd name="adj2" fmla="val -95134"/>
          </a:avLst>
        </a:prstGeom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  <a:latin typeface="宋体"/>
              <a:ea typeface="宋体"/>
              <a:cs typeface="宋体"/>
            </a:rPr>
            <a:t>在此输入月份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23825" y="4219575"/>
          <a:ext cx="88677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28" hidden="1" customWidth="1"/>
    <col min="4" max="6" width="0" style="0" hidden="1" customWidth="1"/>
  </cols>
  <sheetData>
    <row r="1" spans="1:3" ht="14.25">
      <c r="A1" s="840"/>
      <c r="B1" s="840"/>
      <c r="C1" s="840"/>
    </row>
    <row r="2" spans="1:3" ht="14.25">
      <c r="A2" s="840"/>
      <c r="B2" s="840"/>
      <c r="C2" s="840"/>
    </row>
    <row r="3" spans="1:3" ht="14.25">
      <c r="A3" s="840"/>
      <c r="B3" s="840"/>
      <c r="C3" s="841"/>
    </row>
    <row r="4" spans="1:3" ht="14.25">
      <c r="A4" s="840"/>
      <c r="B4" s="840"/>
      <c r="C4" s="840"/>
    </row>
    <row r="5" spans="1:3" ht="14.25">
      <c r="A5" s="840"/>
      <c r="B5" s="840"/>
      <c r="C5" s="840"/>
    </row>
    <row r="6" spans="1:3" ht="14.25">
      <c r="A6" s="840"/>
      <c r="B6" s="840"/>
      <c r="C6" s="840"/>
    </row>
    <row r="7" spans="1:3" ht="14.25">
      <c r="A7" s="840"/>
      <c r="B7" s="840"/>
      <c r="C7" s="840"/>
    </row>
    <row r="8" spans="1:3" ht="14.25">
      <c r="A8" s="840"/>
      <c r="B8" s="840"/>
      <c r="C8" s="840"/>
    </row>
    <row r="9" spans="2:3" ht="14.25">
      <c r="B9" s="840"/>
      <c r="C9" s="840"/>
    </row>
    <row r="10" spans="2:3" ht="14.25">
      <c r="B10" s="840"/>
      <c r="C10" s="841"/>
    </row>
    <row r="11" spans="2:3" ht="14.25">
      <c r="B11" s="840"/>
      <c r="C11" s="841"/>
    </row>
    <row r="12" spans="2:3" ht="14.25">
      <c r="B12" s="840"/>
      <c r="C12" s="841"/>
    </row>
    <row r="13" spans="2:3" ht="14.25">
      <c r="B13" s="840"/>
      <c r="C13" s="840"/>
    </row>
    <row r="14" spans="2:3" ht="14.25">
      <c r="B14" s="840"/>
      <c r="C14" s="841"/>
    </row>
    <row r="15" spans="2:3" ht="14.25">
      <c r="B15" s="840"/>
      <c r="C15" s="841"/>
    </row>
    <row r="16" spans="2:3" ht="14.25">
      <c r="B16" s="840"/>
      <c r="C16" s="841"/>
    </row>
    <row r="17" spans="2:3" ht="14.25">
      <c r="B17" s="840"/>
      <c r="C17" s="841"/>
    </row>
    <row r="18" spans="2:3" ht="14.25">
      <c r="B18" s="840"/>
      <c r="C18" s="841"/>
    </row>
    <row r="19" spans="2:3" ht="14.25">
      <c r="B19" s="840"/>
      <c r="C19" s="841"/>
    </row>
    <row r="20" spans="2:3" ht="14.25">
      <c r="B20" s="840"/>
      <c r="C20" s="841"/>
    </row>
    <row r="21" spans="2:3" ht="14.25">
      <c r="B21" s="840"/>
      <c r="C21" s="840"/>
    </row>
    <row r="22" spans="2:3" ht="14.25">
      <c r="B22" s="840"/>
      <c r="C22" s="840"/>
    </row>
    <row r="23" spans="2:3" ht="14.25">
      <c r="B23" s="840"/>
      <c r="C23" s="841"/>
    </row>
    <row r="24" spans="2:3" ht="14.25">
      <c r="B24" s="840"/>
      <c r="C24" s="841"/>
    </row>
    <row r="25" spans="2:3" ht="14.25">
      <c r="B25" s="840"/>
      <c r="C25" s="840"/>
    </row>
    <row r="26" spans="2:3" ht="14.25">
      <c r="B26" s="840"/>
      <c r="C26" s="841"/>
    </row>
    <row r="27" spans="2:3" ht="14.25">
      <c r="B27" s="840"/>
      <c r="C27" s="841"/>
    </row>
    <row r="28" spans="2:3" ht="14.25">
      <c r="B28" s="840"/>
      <c r="C28" s="841"/>
    </row>
    <row r="29" spans="2:3" ht="14.25">
      <c r="B29" s="840"/>
      <c r="C29" s="841"/>
    </row>
    <row r="30" spans="2:3" ht="14.25">
      <c r="B30" s="840"/>
      <c r="C30" s="841"/>
    </row>
    <row r="31" spans="2:3" ht="14.25">
      <c r="B31" s="840"/>
      <c r="C31" s="841"/>
    </row>
    <row r="32" spans="2:3" ht="14.25">
      <c r="B32" s="840"/>
      <c r="C32" s="841"/>
    </row>
    <row r="33" spans="2:3" ht="14.25">
      <c r="B33" s="840"/>
      <c r="C33" s="841"/>
    </row>
    <row r="34" spans="2:3" ht="14.25">
      <c r="B34" s="840"/>
      <c r="C34" s="841"/>
    </row>
    <row r="35" spans="2:3" ht="14.25">
      <c r="B35" s="840"/>
      <c r="C35" s="840"/>
    </row>
    <row r="36" spans="2:3" ht="14.25">
      <c r="B36" s="840"/>
      <c r="C36" s="841"/>
    </row>
    <row r="37" spans="2:3" ht="14.25">
      <c r="B37" s="840"/>
      <c r="C37" s="840"/>
    </row>
    <row r="38" spans="2:3" ht="14.25">
      <c r="B38" s="840"/>
      <c r="C38" s="840"/>
    </row>
    <row r="39" spans="2:3" ht="14.25">
      <c r="B39" s="840"/>
      <c r="C39" s="840"/>
    </row>
    <row r="40" spans="2:3" ht="14.25">
      <c r="B40" s="840"/>
      <c r="C40" s="840"/>
    </row>
    <row r="41" spans="2:3" ht="14.25">
      <c r="B41" s="840"/>
      <c r="C41" s="840"/>
    </row>
    <row r="42" spans="2:3" ht="14.25">
      <c r="B42" s="840"/>
      <c r="C42" s="840"/>
    </row>
    <row r="43" spans="2:3" ht="14.25">
      <c r="B43" s="840"/>
      <c r="C43" s="841"/>
    </row>
    <row r="44" spans="2:3" ht="14.25">
      <c r="B44" s="840"/>
      <c r="C44" s="841"/>
    </row>
    <row r="45" spans="2:3" ht="14.25">
      <c r="B45" s="840"/>
      <c r="C45" s="841"/>
    </row>
    <row r="46" spans="2:3" ht="14.25">
      <c r="B46" s="840"/>
      <c r="C46" s="840"/>
    </row>
    <row r="47" spans="2:3" ht="14.25">
      <c r="B47" s="840"/>
      <c r="C47" s="840"/>
    </row>
    <row r="48" spans="2:3" ht="14.25">
      <c r="B48" s="840"/>
      <c r="C48" s="840"/>
    </row>
    <row r="49" spans="2:3" ht="14.25">
      <c r="B49" s="840"/>
      <c r="C49" s="840"/>
    </row>
    <row r="50" spans="2:3" ht="14.25">
      <c r="B50" s="840"/>
      <c r="C50" s="840"/>
    </row>
    <row r="51" spans="2:3" ht="14.25">
      <c r="B51" s="840"/>
      <c r="C51" s="841"/>
    </row>
    <row r="52" spans="2:3" ht="14.25">
      <c r="B52" s="840"/>
      <c r="C52" s="840"/>
    </row>
    <row r="53" spans="2:3" ht="14.25">
      <c r="B53" s="840"/>
      <c r="C53" s="841"/>
    </row>
    <row r="54" spans="2:3" ht="14.25">
      <c r="B54" s="840"/>
      <c r="C54" s="841"/>
    </row>
    <row r="55" spans="2:3" ht="14.25">
      <c r="B55" s="840"/>
      <c r="C55" s="841"/>
    </row>
    <row r="56" spans="2:3" ht="14.25">
      <c r="B56" s="840"/>
      <c r="C56" s="841"/>
    </row>
    <row r="57" spans="2:3" ht="14.25">
      <c r="B57" s="840"/>
      <c r="C57" s="841"/>
    </row>
    <row r="58" spans="2:3" ht="14.25">
      <c r="B58" s="840"/>
      <c r="C58" s="841"/>
    </row>
    <row r="59" spans="2:3" ht="14.25">
      <c r="B59" s="840"/>
      <c r="C59" s="841"/>
    </row>
    <row r="60" spans="2:3" ht="14.25">
      <c r="B60" s="840"/>
      <c r="C60" s="841"/>
    </row>
    <row r="61" spans="2:3" ht="14.25">
      <c r="B61" s="840"/>
      <c r="C61" s="841"/>
    </row>
    <row r="62" spans="2:3" ht="14.25">
      <c r="B62" s="840"/>
      <c r="C62" s="841"/>
    </row>
    <row r="63" spans="2:3" ht="14.25">
      <c r="B63" s="840"/>
      <c r="C63" s="840"/>
    </row>
    <row r="64" spans="2:3" ht="14.25">
      <c r="B64" s="840"/>
      <c r="C64" s="840"/>
    </row>
    <row r="65" spans="2:3" ht="14.25">
      <c r="B65" s="840"/>
      <c r="C65" s="840"/>
    </row>
    <row r="66" spans="2:3" ht="14.25">
      <c r="B66" s="840"/>
      <c r="C66" s="840"/>
    </row>
    <row r="67" spans="2:3" ht="14.25">
      <c r="B67" s="840"/>
      <c r="C67" s="840"/>
    </row>
    <row r="68" spans="2:3" ht="14.25">
      <c r="B68" s="840"/>
      <c r="C68" s="841"/>
    </row>
    <row r="69" spans="2:3" ht="14.25">
      <c r="B69" s="840"/>
      <c r="C69" s="841"/>
    </row>
    <row r="70" spans="2:3" ht="14.25">
      <c r="B70" s="840"/>
      <c r="C70" s="841"/>
    </row>
    <row r="71" spans="2:3" ht="14.25">
      <c r="B71" s="840"/>
      <c r="C71" s="841"/>
    </row>
    <row r="72" spans="2:3" ht="14.25">
      <c r="B72" s="840"/>
      <c r="C72" s="841"/>
    </row>
    <row r="73" spans="2:3" ht="14.25">
      <c r="B73" s="840"/>
      <c r="C73" s="841"/>
    </row>
    <row r="74" spans="2:3" ht="14.25">
      <c r="B74" s="840"/>
      <c r="C74" s="840"/>
    </row>
    <row r="75" spans="2:3" ht="14.25">
      <c r="B75" s="840"/>
      <c r="C75" s="841"/>
    </row>
    <row r="76" spans="2:3" ht="14.25">
      <c r="B76" s="840"/>
      <c r="C76" s="841"/>
    </row>
    <row r="77" spans="2:3" ht="14.25">
      <c r="B77" s="840"/>
      <c r="C77" s="840"/>
    </row>
    <row r="78" spans="2:3" ht="14.25">
      <c r="B78" s="840"/>
      <c r="C78" s="841"/>
    </row>
    <row r="79" spans="2:3" ht="14.25">
      <c r="B79" s="840"/>
      <c r="C79" s="841"/>
    </row>
    <row r="80" spans="2:3" ht="14.25">
      <c r="B80" s="840"/>
      <c r="C80" s="840"/>
    </row>
    <row r="81" spans="2:3" ht="14.25">
      <c r="B81" s="840"/>
      <c r="C81" s="841"/>
    </row>
    <row r="82" spans="2:3" ht="14.25">
      <c r="B82" s="840"/>
      <c r="C82" s="840"/>
    </row>
    <row r="83" ht="14.25">
      <c r="B83" s="840"/>
    </row>
    <row r="84" ht="14.25">
      <c r="B84" s="840"/>
    </row>
    <row r="85" ht="14.25">
      <c r="B85" s="840"/>
    </row>
    <row r="86" ht="14.25">
      <c r="B86" s="840"/>
    </row>
    <row r="87" ht="14.25">
      <c r="B87" s="840"/>
    </row>
    <row r="88" ht="14.25">
      <c r="B88" s="840"/>
    </row>
    <row r="89" ht="14.25">
      <c r="B89" s="840"/>
    </row>
    <row r="90" ht="14.25">
      <c r="B90" s="840"/>
    </row>
    <row r="91" ht="14.25">
      <c r="B91" s="840"/>
    </row>
    <row r="92" ht="14.25">
      <c r="B92" s="840"/>
    </row>
    <row r="93" ht="14.25">
      <c r="B93" s="840"/>
    </row>
    <row r="94" ht="14.25">
      <c r="B94" s="840"/>
    </row>
    <row r="95" ht="14.25">
      <c r="B95" s="840"/>
    </row>
    <row r="96" ht="14.25">
      <c r="B96" s="840"/>
    </row>
    <row r="97" ht="14.25">
      <c r="B97" s="840"/>
    </row>
    <row r="98" ht="14.25">
      <c r="B98" s="840"/>
    </row>
    <row r="99" ht="14.25">
      <c r="B99" s="840"/>
    </row>
    <row r="100" ht="14.25">
      <c r="B100" s="840"/>
    </row>
    <row r="101" ht="14.25">
      <c r="B101" s="840"/>
    </row>
    <row r="102" ht="14.25">
      <c r="B102" s="840"/>
    </row>
    <row r="103" ht="14.25">
      <c r="B103" s="840"/>
    </row>
    <row r="104" ht="14.25">
      <c r="B104" s="840"/>
    </row>
    <row r="105" ht="14.25">
      <c r="B105" s="840"/>
    </row>
    <row r="106" ht="14.25">
      <c r="B106" s="840"/>
    </row>
    <row r="107" ht="14.25">
      <c r="B107" s="840"/>
    </row>
    <row r="108" ht="14.25">
      <c r="B108" s="840"/>
    </row>
    <row r="109" ht="14.25">
      <c r="B109" s="840"/>
    </row>
    <row r="110" ht="14.25">
      <c r="B110" s="840"/>
    </row>
    <row r="111" ht="14.25">
      <c r="B111" s="840"/>
    </row>
    <row r="112" ht="14.25">
      <c r="B112" s="840"/>
    </row>
    <row r="113" ht="14.25">
      <c r="B113" s="840"/>
    </row>
    <row r="114" ht="14.25">
      <c r="B114" s="840"/>
    </row>
    <row r="115" ht="14.25">
      <c r="B115" s="840"/>
    </row>
    <row r="116" ht="14.25">
      <c r="B116" s="840"/>
    </row>
    <row r="117" ht="14.25">
      <c r="B117" s="840"/>
    </row>
    <row r="118" ht="14.25">
      <c r="B118" s="840"/>
    </row>
    <row r="119" ht="14.25">
      <c r="B119" s="840"/>
    </row>
    <row r="120" ht="14.25">
      <c r="B120" s="840"/>
    </row>
    <row r="121" ht="14.25">
      <c r="B121" s="840"/>
    </row>
    <row r="122" ht="14.25">
      <c r="B122" s="840"/>
    </row>
    <row r="123" ht="14.25">
      <c r="B123" s="840"/>
    </row>
    <row r="124" ht="14.25">
      <c r="B124" s="840"/>
    </row>
    <row r="125" ht="14.25">
      <c r="B125" s="840"/>
    </row>
    <row r="126" ht="14.25">
      <c r="B126" s="840"/>
    </row>
    <row r="127" ht="14.25">
      <c r="B127" s="840"/>
    </row>
    <row r="128" ht="14.25">
      <c r="B128" s="840"/>
    </row>
    <row r="129" ht="14.25">
      <c r="B129" s="840"/>
    </row>
    <row r="130" ht="14.25">
      <c r="B130" s="840"/>
    </row>
    <row r="131" ht="14.25">
      <c r="B131" s="840"/>
    </row>
    <row r="132" ht="14.25">
      <c r="B132" s="840"/>
    </row>
    <row r="133" ht="14.25">
      <c r="B133" s="840"/>
    </row>
    <row r="134" ht="14.25">
      <c r="B134" s="840"/>
    </row>
    <row r="135" ht="14.25">
      <c r="B135" s="840"/>
    </row>
    <row r="136" ht="14.25">
      <c r="B136" s="840"/>
    </row>
    <row r="137" ht="14.25">
      <c r="B137" s="840"/>
    </row>
    <row r="138" ht="14.25">
      <c r="B138" s="840"/>
    </row>
    <row r="139" ht="14.25">
      <c r="B139" s="840"/>
    </row>
    <row r="140" ht="14.25">
      <c r="B140" s="840"/>
    </row>
    <row r="141" ht="14.25">
      <c r="B141" s="840"/>
    </row>
    <row r="142" ht="14.25">
      <c r="B142" s="84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4"/>
  <dimension ref="A1:G75"/>
  <sheetViews>
    <sheetView showZeros="0" workbookViewId="0" topLeftCell="A1">
      <selection activeCell="G16" sqref="G16"/>
    </sheetView>
  </sheetViews>
  <sheetFormatPr defaultColWidth="9.00390625" defaultRowHeight="14.25"/>
  <cols>
    <col min="1" max="1" width="28.75390625" style="14" customWidth="1"/>
    <col min="2" max="4" width="17.375" style="14" customWidth="1"/>
    <col min="5" max="6" width="9.00390625" style="14" customWidth="1"/>
    <col min="7" max="7" width="11.625" style="14" customWidth="1"/>
    <col min="8" max="16384" width="9.00390625" style="14" customWidth="1"/>
  </cols>
  <sheetData>
    <row r="1" spans="1:5" ht="23.25" thickBot="1">
      <c r="A1" s="5" t="s">
        <v>1040</v>
      </c>
      <c r="B1" s="5"/>
      <c r="C1" s="5"/>
      <c r="D1" s="5"/>
      <c r="E1" s="495">
        <v>9</v>
      </c>
    </row>
    <row r="2" spans="1:7" ht="14.25">
      <c r="A2" s="497"/>
      <c r="C2" s="15"/>
      <c r="D2" s="15"/>
      <c r="F2" s="984">
        <f ca="1">NOW()</f>
        <v>38825.56742395833</v>
      </c>
      <c r="G2" s="984"/>
    </row>
    <row r="3" spans="1:7" ht="14.25">
      <c r="A3" s="496">
        <f>HLOOKUP($E$1,'制造费用'!D5:P116,2)</f>
        <v>38969</v>
      </c>
      <c r="B3" s="134"/>
      <c r="C3" s="496"/>
      <c r="D3" s="134"/>
      <c r="F3" s="985" t="str">
        <f>CHOOSE(WEEKDAY(F2,2),"星期一","星期二","星期三","星期四","星期五","星期六","星期日")</f>
        <v>星期二</v>
      </c>
      <c r="G3" s="985"/>
    </row>
    <row r="4" spans="1:4" ht="15">
      <c r="A4" s="497"/>
      <c r="B4" s="506"/>
      <c r="C4" s="506"/>
      <c r="D4" s="507"/>
    </row>
    <row r="5" spans="1:4" ht="15">
      <c r="A5" s="51" t="s">
        <v>1044</v>
      </c>
      <c r="B5" s="15"/>
      <c r="C5" s="15"/>
      <c r="D5" s="507" t="s">
        <v>515</v>
      </c>
    </row>
    <row r="6" spans="1:4" ht="4.5" customHeight="1" thickBot="1">
      <c r="A6" s="497"/>
      <c r="B6" s="497"/>
      <c r="C6" s="497"/>
      <c r="D6" s="508"/>
    </row>
    <row r="7" spans="1:4" ht="28.5" customHeight="1">
      <c r="A7" s="498" t="s">
        <v>516</v>
      </c>
      <c r="B7" s="499" t="s">
        <v>517</v>
      </c>
      <c r="C7" s="509" t="s">
        <v>518</v>
      </c>
      <c r="D7" s="510" t="s">
        <v>519</v>
      </c>
    </row>
    <row r="8" spans="1:4" ht="18" customHeight="1">
      <c r="A8" s="524" t="s">
        <v>713</v>
      </c>
      <c r="B8" s="693">
        <f>HLOOKUP($E$1,'制造费用'!$D$5:$O$106,6)</f>
        <v>0</v>
      </c>
      <c r="C8" s="694">
        <f>HLOOKUP($E$1,'制造费用'!$D$5:$O$106,40)</f>
        <v>500</v>
      </c>
      <c r="D8" s="695">
        <f>HLOOKUP($E$1,'制造费用'!$D$5:$O$106,74)</f>
        <v>0</v>
      </c>
    </row>
    <row r="9" spans="1:4" ht="18" customHeight="1">
      <c r="A9" s="505" t="s">
        <v>520</v>
      </c>
      <c r="B9" s="557">
        <f>HLOOKUP($E$1,'制造费用'!$D$5:$O$106,7)</f>
        <v>0</v>
      </c>
      <c r="C9" s="561">
        <f>HLOOKUP($E$1,'制造费用'!$D$5:$O$106,41)</f>
        <v>0</v>
      </c>
      <c r="D9" s="696">
        <f>HLOOKUP($E$1,'制造费用'!$D$5:$O$106,75)</f>
        <v>0</v>
      </c>
    </row>
    <row r="10" spans="1:4" ht="18" customHeight="1">
      <c r="A10" s="505" t="s">
        <v>29</v>
      </c>
      <c r="B10" s="557">
        <f>HLOOKUP($E$1,'制造费用'!$D$5:$O$106,8)</f>
        <v>0</v>
      </c>
      <c r="C10" s="561">
        <f>HLOOKUP($E$1,'制造费用'!$D$5:$O$106,42)</f>
        <v>0</v>
      </c>
      <c r="D10" s="696">
        <f>HLOOKUP($E$1,'制造费用'!$D$5:$O$106,76)</f>
        <v>0</v>
      </c>
    </row>
    <row r="11" spans="1:4" ht="18" customHeight="1">
      <c r="A11" s="505" t="s">
        <v>27</v>
      </c>
      <c r="B11" s="557">
        <f>HLOOKUP($E$1,'制造费用'!$D$5:$O$106,9)</f>
        <v>0</v>
      </c>
      <c r="C11" s="561">
        <f>HLOOKUP($E$1,'制造费用'!$D$5:$O$106,43)</f>
        <v>0</v>
      </c>
      <c r="D11" s="696">
        <f>HLOOKUP($E$1,'制造费用'!$D$5:$O$106,77)</f>
        <v>0</v>
      </c>
    </row>
    <row r="12" spans="1:4" ht="18" customHeight="1">
      <c r="A12" s="505" t="s">
        <v>1017</v>
      </c>
      <c r="B12" s="557">
        <f>HLOOKUP($E$1,'制造费用'!$D$5:$O$106,10)</f>
        <v>0</v>
      </c>
      <c r="C12" s="561">
        <f>HLOOKUP($E$1,'制造费用'!$D$5:$O$106,44)</f>
        <v>0</v>
      </c>
      <c r="D12" s="696">
        <f>HLOOKUP($E$1,'制造费用'!$D$5:$O$106,78)</f>
        <v>0</v>
      </c>
    </row>
    <row r="13" spans="1:4" ht="18" customHeight="1">
      <c r="A13" s="505" t="s">
        <v>26</v>
      </c>
      <c r="B13" s="557">
        <f>HLOOKUP($E$1,'制造费用'!$D$5:$O$106,11)</f>
        <v>0</v>
      </c>
      <c r="C13" s="561">
        <f>HLOOKUP($E$1,'制造费用'!$D$5:$O$106,45)</f>
        <v>0</v>
      </c>
      <c r="D13" s="696">
        <f>HLOOKUP($E$1,'制造费用'!$D$5:$O$106,79)</f>
        <v>0</v>
      </c>
    </row>
    <row r="14" spans="1:4" ht="18" customHeight="1">
      <c r="A14" s="505" t="s">
        <v>521</v>
      </c>
      <c r="B14" s="557">
        <f>HLOOKUP($E$1,'制造费用'!$D$5:$O$106,12)</f>
        <v>0</v>
      </c>
      <c r="C14" s="561">
        <f>HLOOKUP($E$1,'制造费用'!$D$5:$O$106,46)</f>
        <v>0</v>
      </c>
      <c r="D14" s="696">
        <f>HLOOKUP($E$1,'制造费用'!$D$5:$O$106,80)</f>
        <v>0</v>
      </c>
    </row>
    <row r="15" spans="1:4" ht="18" customHeight="1">
      <c r="A15" s="505" t="s">
        <v>522</v>
      </c>
      <c r="B15" s="557">
        <f>HLOOKUP($E$1,'制造费用'!$D$5:$O$106,13)</f>
        <v>0</v>
      </c>
      <c r="C15" s="561">
        <f>HLOOKUP($E$1,'制造费用'!$D$5:$O$106,47)</f>
        <v>0</v>
      </c>
      <c r="D15" s="696">
        <f>HLOOKUP($E$1,'制造费用'!$D$5:$O$106,81)</f>
        <v>0</v>
      </c>
    </row>
    <row r="16" spans="1:4" ht="18" customHeight="1">
      <c r="A16" s="505" t="s">
        <v>523</v>
      </c>
      <c r="B16" s="557">
        <f>HLOOKUP($E$1,'制造费用'!$D$5:$O$106,14)</f>
        <v>0</v>
      </c>
      <c r="C16" s="561">
        <f>HLOOKUP($E$1,'制造费用'!$D$5:$O$106,48)</f>
        <v>0</v>
      </c>
      <c r="D16" s="696">
        <f>HLOOKUP($E$1,'制造费用'!$D$5:$O$106,82)</f>
        <v>0</v>
      </c>
    </row>
    <row r="17" spans="1:4" ht="18" customHeight="1">
      <c r="A17" s="505" t="s">
        <v>1019</v>
      </c>
      <c r="B17" s="557">
        <f>HLOOKUP($E$1,'制造费用'!$D$5:$O$106,15)</f>
        <v>0</v>
      </c>
      <c r="C17" s="561">
        <f>HLOOKUP($E$1,'制造费用'!$D$5:$O$106,49)</f>
        <v>0</v>
      </c>
      <c r="D17" s="696">
        <f>HLOOKUP($E$1,'制造费用'!$D$5:$O$106,83)</f>
        <v>0</v>
      </c>
    </row>
    <row r="18" spans="1:4" ht="18" customHeight="1">
      <c r="A18" s="525"/>
      <c r="B18" s="501"/>
      <c r="C18" s="511"/>
      <c r="D18" s="512"/>
    </row>
    <row r="19" spans="1:4" ht="18" customHeight="1">
      <c r="A19" s="525"/>
      <c r="B19" s="501"/>
      <c r="C19" s="511"/>
      <c r="D19" s="512"/>
    </row>
    <row r="20" spans="1:4" ht="18" customHeight="1">
      <c r="A20" s="513"/>
      <c r="B20" s="501"/>
      <c r="C20" s="511"/>
      <c r="D20" s="512"/>
    </row>
    <row r="21" spans="1:4" ht="18" customHeight="1">
      <c r="A21" s="513"/>
      <c r="B21" s="501"/>
      <c r="C21" s="511"/>
      <c r="D21" s="512"/>
    </row>
    <row r="22" spans="1:4" ht="18" customHeight="1">
      <c r="A22" s="513"/>
      <c r="B22" s="501"/>
      <c r="C22" s="511"/>
      <c r="D22" s="512"/>
    </row>
    <row r="23" spans="1:4" ht="18" customHeight="1">
      <c r="A23" s="513"/>
      <c r="B23" s="501"/>
      <c r="C23" s="511"/>
      <c r="D23" s="512"/>
    </row>
    <row r="24" spans="1:4" ht="18" customHeight="1">
      <c r="A24" s="513"/>
      <c r="B24" s="501"/>
      <c r="C24" s="511"/>
      <c r="D24" s="512"/>
    </row>
    <row r="25" spans="1:4" ht="18" customHeight="1">
      <c r="A25" s="513"/>
      <c r="B25" s="501"/>
      <c r="C25" s="511"/>
      <c r="D25" s="512"/>
    </row>
    <row r="26" spans="1:4" ht="18" customHeight="1">
      <c r="A26" s="513"/>
      <c r="B26" s="501"/>
      <c r="C26" s="511"/>
      <c r="D26" s="512"/>
    </row>
    <row r="27" spans="1:5" ht="18" customHeight="1">
      <c r="A27" s="513"/>
      <c r="B27" s="501"/>
      <c r="C27" s="511"/>
      <c r="D27" s="512"/>
      <c r="E27" s="1" t="s">
        <v>524</v>
      </c>
    </row>
    <row r="28" spans="1:4" ht="18" customHeight="1">
      <c r="A28" s="513"/>
      <c r="B28" s="501"/>
      <c r="C28" s="511"/>
      <c r="D28" s="512"/>
    </row>
    <row r="29" spans="1:4" ht="18" customHeight="1">
      <c r="A29" s="513"/>
      <c r="B29" s="501"/>
      <c r="C29" s="511"/>
      <c r="D29" s="512"/>
    </row>
    <row r="30" spans="1:4" ht="18" customHeight="1">
      <c r="A30" s="513"/>
      <c r="B30" s="501"/>
      <c r="C30" s="511"/>
      <c r="D30" s="512"/>
    </row>
    <row r="31" spans="1:4" ht="18" customHeight="1">
      <c r="A31" s="514"/>
      <c r="B31" s="501"/>
      <c r="C31" s="511"/>
      <c r="D31" s="512"/>
    </row>
    <row r="32" spans="1:4" ht="18" customHeight="1">
      <c r="A32" s="515"/>
      <c r="B32" s="501"/>
      <c r="C32" s="511"/>
      <c r="D32" s="512"/>
    </row>
    <row r="33" spans="1:4" ht="18" customHeight="1">
      <c r="A33" s="516"/>
      <c r="B33" s="501"/>
      <c r="C33" s="511"/>
      <c r="D33" s="512"/>
    </row>
    <row r="34" spans="1:4" ht="18" customHeight="1">
      <c r="A34" s="517"/>
      <c r="B34" s="501"/>
      <c r="C34" s="511"/>
      <c r="D34" s="512"/>
    </row>
    <row r="35" spans="1:4" ht="18" customHeight="1">
      <c r="A35" s="517"/>
      <c r="B35" s="501"/>
      <c r="C35" s="511"/>
      <c r="D35" s="512"/>
    </row>
    <row r="36" spans="1:4" ht="18" customHeight="1">
      <c r="A36" s="517"/>
      <c r="B36" s="501"/>
      <c r="C36" s="511"/>
      <c r="D36" s="512"/>
    </row>
    <row r="37" spans="1:4" ht="18" customHeight="1" thickBot="1">
      <c r="A37" s="518" t="s">
        <v>525</v>
      </c>
      <c r="B37" s="519">
        <f>HLOOKUP($E$1,'制造费用'!$D$5:$O$106,34)</f>
        <v>0</v>
      </c>
      <c r="C37" s="520">
        <f>HLOOKUP($E$1,'制造费用'!$D$5:$O$106,68)</f>
        <v>500</v>
      </c>
      <c r="D37" s="521">
        <f>HLOOKUP($E$1,'制造费用'!$D$5:$O$106,102)</f>
        <v>0</v>
      </c>
    </row>
    <row r="38" spans="1:4" ht="14.25">
      <c r="A38" s="522"/>
      <c r="B38" s="522"/>
      <c r="C38" s="522"/>
      <c r="D38" s="522"/>
    </row>
    <row r="39" spans="1:4" ht="14.25">
      <c r="A39" s="522"/>
      <c r="B39" s="523"/>
      <c r="C39" s="522"/>
      <c r="D39" s="522"/>
    </row>
    <row r="40" spans="1:4" ht="14.25">
      <c r="A40" s="522"/>
      <c r="B40" s="522"/>
      <c r="C40" s="522"/>
      <c r="D40"/>
    </row>
    <row r="41" spans="1:4" ht="14.25">
      <c r="A41" s="522"/>
      <c r="B41" s="522"/>
      <c r="C41" s="522"/>
      <c r="D41" s="522"/>
    </row>
    <row r="42" spans="1:4" ht="14.25">
      <c r="A42" s="522"/>
      <c r="B42" s="522"/>
      <c r="C42" s="522"/>
      <c r="D42" s="522"/>
    </row>
    <row r="43" spans="1:4" ht="14.25">
      <c r="A43" s="522"/>
      <c r="B43" s="522"/>
      <c r="C43" s="522"/>
      <c r="D43" s="522"/>
    </row>
    <row r="44" spans="1:4" ht="14.25">
      <c r="A44" s="522"/>
      <c r="B44" s="522"/>
      <c r="C44" s="522"/>
      <c r="D44" s="522"/>
    </row>
    <row r="45" spans="1:4" ht="14.25">
      <c r="A45" s="522"/>
      <c r="B45" s="522"/>
      <c r="C45" s="522"/>
      <c r="D45" s="522"/>
    </row>
    <row r="46" spans="1:4" ht="14.25">
      <c r="A46" s="522"/>
      <c r="B46" s="522"/>
      <c r="C46" s="522"/>
      <c r="D46" s="522"/>
    </row>
    <row r="47" spans="1:4" ht="14.25">
      <c r="A47" s="522"/>
      <c r="B47" s="522"/>
      <c r="C47" s="522"/>
      <c r="D47" s="522"/>
    </row>
    <row r="48" spans="1:4" ht="14.25">
      <c r="A48" s="522"/>
      <c r="B48" s="522"/>
      <c r="C48" s="522"/>
      <c r="D48" s="522"/>
    </row>
    <row r="49" spans="1:4" ht="14.25">
      <c r="A49" s="522"/>
      <c r="B49" s="522"/>
      <c r="C49" s="522"/>
      <c r="D49" s="522"/>
    </row>
    <row r="50" spans="1:4" ht="14.25">
      <c r="A50" s="522"/>
      <c r="B50" s="522"/>
      <c r="C50" s="522"/>
      <c r="D50" s="522"/>
    </row>
    <row r="51" spans="1:4" ht="14.25">
      <c r="A51" s="522"/>
      <c r="B51" s="522"/>
      <c r="C51" s="522"/>
      <c r="D51" s="522"/>
    </row>
    <row r="52" spans="1:4" ht="14.25">
      <c r="A52" s="522"/>
      <c r="B52" s="522"/>
      <c r="C52" s="522"/>
      <c r="D52" s="522"/>
    </row>
    <row r="53" spans="1:4" ht="14.25">
      <c r="A53" s="522"/>
      <c r="B53" s="522"/>
      <c r="C53" s="522"/>
      <c r="D53" s="522"/>
    </row>
    <row r="54" spans="1:4" ht="14.25">
      <c r="A54" s="522"/>
      <c r="B54" s="522"/>
      <c r="C54" s="522"/>
      <c r="D54" s="522"/>
    </row>
    <row r="55" spans="1:4" ht="14.25">
      <c r="A55" s="522"/>
      <c r="B55" s="522"/>
      <c r="C55" s="522"/>
      <c r="D55" s="522"/>
    </row>
    <row r="56" spans="1:4" ht="14.25">
      <c r="A56" s="522"/>
      <c r="B56" s="522"/>
      <c r="C56" s="522"/>
      <c r="D56" s="522"/>
    </row>
    <row r="57" spans="1:4" ht="14.25">
      <c r="A57" s="522"/>
      <c r="B57" s="522"/>
      <c r="C57" s="522"/>
      <c r="D57" s="522"/>
    </row>
    <row r="58" spans="1:4" ht="14.25">
      <c r="A58" s="522"/>
      <c r="B58" s="522"/>
      <c r="C58" s="522"/>
      <c r="D58" s="522"/>
    </row>
    <row r="59" spans="1:4" ht="14.25">
      <c r="A59" s="522"/>
      <c r="B59" s="522"/>
      <c r="C59" s="522"/>
      <c r="D59" s="522"/>
    </row>
    <row r="60" spans="1:4" ht="14.25">
      <c r="A60" s="522"/>
      <c r="B60" s="522"/>
      <c r="C60" s="522"/>
      <c r="D60" s="522"/>
    </row>
    <row r="61" spans="1:4" ht="14.25">
      <c r="A61" s="522"/>
      <c r="B61" s="522"/>
      <c r="C61" s="522"/>
      <c r="D61" s="522"/>
    </row>
    <row r="62" spans="1:4" ht="14.25">
      <c r="A62" s="522"/>
      <c r="B62" s="522"/>
      <c r="C62" s="522"/>
      <c r="D62" s="522"/>
    </row>
    <row r="63" spans="1:4" ht="14.25">
      <c r="A63" s="522"/>
      <c r="B63" s="522"/>
      <c r="C63" s="522"/>
      <c r="D63" s="522"/>
    </row>
    <row r="64" spans="1:4" ht="14.25">
      <c r="A64" s="522"/>
      <c r="B64" s="522"/>
      <c r="C64" s="522"/>
      <c r="D64" s="522"/>
    </row>
    <row r="65" spans="1:4" ht="14.25">
      <c r="A65" s="522"/>
      <c r="B65" s="522"/>
      <c r="C65" s="522"/>
      <c r="D65" s="522"/>
    </row>
    <row r="66" spans="1:4" ht="14.25">
      <c r="A66" s="522"/>
      <c r="B66" s="522"/>
      <c r="C66" s="522"/>
      <c r="D66" s="522"/>
    </row>
    <row r="67" spans="1:4" ht="14.25">
      <c r="A67" s="522"/>
      <c r="B67" s="522"/>
      <c r="C67" s="522"/>
      <c r="D67" s="522"/>
    </row>
    <row r="68" spans="1:4" ht="14.25">
      <c r="A68" s="522"/>
      <c r="B68" s="522"/>
      <c r="C68" s="522"/>
      <c r="D68" s="522"/>
    </row>
    <row r="69" spans="1:4" ht="14.25">
      <c r="A69" s="522"/>
      <c r="B69" s="522"/>
      <c r="C69" s="522"/>
      <c r="D69" s="522"/>
    </row>
    <row r="70" spans="1:4" ht="14.25">
      <c r="A70" s="522"/>
      <c r="B70" s="522"/>
      <c r="C70" s="522"/>
      <c r="D70" s="522"/>
    </row>
    <row r="71" spans="1:4" ht="14.25">
      <c r="A71" s="522"/>
      <c r="B71" s="522"/>
      <c r="C71" s="522"/>
      <c r="D71" s="522"/>
    </row>
    <row r="72" spans="1:4" ht="14.25">
      <c r="A72" s="522"/>
      <c r="B72" s="522"/>
      <c r="C72" s="522"/>
      <c r="D72" s="522"/>
    </row>
    <row r="73" spans="1:4" ht="14.25">
      <c r="A73" s="522"/>
      <c r="B73" s="522"/>
      <c r="C73" s="522"/>
      <c r="D73" s="522"/>
    </row>
    <row r="74" spans="1:4" ht="14.25">
      <c r="A74" s="522"/>
      <c r="B74" s="522"/>
      <c r="C74" s="522"/>
      <c r="D74" s="522"/>
    </row>
    <row r="75" spans="1:4" ht="14.25">
      <c r="A75" s="522"/>
      <c r="B75" s="522"/>
      <c r="C75" s="522"/>
      <c r="D75" s="522"/>
    </row>
  </sheetData>
  <mergeCells count="2">
    <mergeCell ref="F2:G2"/>
    <mergeCell ref="F3:G3"/>
  </mergeCells>
  <printOptions horizontalCentered="1"/>
  <pageMargins left="0.15748031496062992" right="0.14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5">
      <pane xSplit="3" ySplit="5" topLeftCell="D10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W18" sqref="W18"/>
    </sheetView>
  </sheetViews>
  <sheetFormatPr defaultColWidth="9.00390625" defaultRowHeight="14.25"/>
  <cols>
    <col min="1" max="1" width="7.125" style="0" customWidth="1"/>
    <col min="2" max="2" width="13.00390625" style="0" customWidth="1"/>
    <col min="3" max="3" width="3.50390625" style="0" customWidth="1"/>
    <col min="4" max="15" width="11.50390625" style="0" customWidth="1"/>
    <col min="16" max="16" width="4.00390625" style="0" customWidth="1"/>
    <col min="17" max="17" width="12.125" style="0" customWidth="1"/>
    <col min="18" max="18" width="1.4921875" style="0" customWidth="1"/>
    <col min="19" max="19" width="11.50390625" style="0" customWidth="1"/>
    <col min="20" max="20" width="12.125" style="0" customWidth="1"/>
    <col min="21" max="21" width="1.4921875" style="0" customWidth="1"/>
    <col min="22" max="22" width="11.50390625" style="0" customWidth="1"/>
    <col min="23" max="23" width="12.125" style="0" customWidth="1"/>
    <col min="24" max="24" width="1.4921875" style="0" customWidth="1"/>
    <col min="25" max="25" width="11.50390625" style="0" customWidth="1"/>
    <col min="26" max="26" width="12.125" style="0" customWidth="1"/>
    <col min="27" max="27" width="1.4921875" style="0" customWidth="1"/>
    <col min="28" max="28" width="13.00390625" style="0" customWidth="1"/>
    <col min="29" max="29" width="12.125" style="0" customWidth="1"/>
    <col min="30" max="30" width="1.4921875" style="0" customWidth="1"/>
    <col min="31" max="31" width="13.00390625" style="0" customWidth="1"/>
    <col min="32" max="32" width="12.125" style="0" customWidth="1"/>
    <col min="33" max="33" width="1.4921875" style="0" customWidth="1"/>
    <col min="34" max="34" width="11.50390625" style="0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3"/>
      <c r="B2" s="3"/>
      <c r="C2" s="247" t="s">
        <v>389</v>
      </c>
      <c r="D2" s="83"/>
      <c r="E2" s="8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248"/>
      <c r="D3" s="83"/>
      <c r="E3" s="8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49"/>
      <c r="P4" s="3"/>
    </row>
    <row r="5" spans="1:16" s="14" customFormat="1" ht="16.5" thickBot="1">
      <c r="A5" s="15"/>
      <c r="B5" s="15"/>
      <c r="C5" s="15"/>
      <c r="D5" s="250">
        <v>1</v>
      </c>
      <c r="E5" s="251">
        <v>2</v>
      </c>
      <c r="F5" s="250">
        <v>3</v>
      </c>
      <c r="G5" s="250">
        <v>4</v>
      </c>
      <c r="H5" s="252">
        <v>5</v>
      </c>
      <c r="I5" s="252">
        <v>6</v>
      </c>
      <c r="J5" s="253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5"/>
    </row>
    <row r="6" spans="1:16" ht="15" thickTop="1">
      <c r="A6" s="973" t="s">
        <v>989</v>
      </c>
      <c r="B6" s="983" t="s">
        <v>990</v>
      </c>
      <c r="C6" s="978"/>
      <c r="D6" s="255">
        <v>38718</v>
      </c>
      <c r="E6" s="256">
        <v>38750</v>
      </c>
      <c r="F6" s="256">
        <v>38779</v>
      </c>
      <c r="G6" s="256">
        <v>38811</v>
      </c>
      <c r="H6" s="256">
        <v>38842</v>
      </c>
      <c r="I6" s="256">
        <v>38874</v>
      </c>
      <c r="J6" s="256">
        <v>38905</v>
      </c>
      <c r="K6" s="256">
        <v>38937</v>
      </c>
      <c r="L6" s="256">
        <v>38969</v>
      </c>
      <c r="M6" s="256">
        <v>39000</v>
      </c>
      <c r="N6" s="256">
        <v>39032</v>
      </c>
      <c r="O6" s="257">
        <v>39063</v>
      </c>
      <c r="P6" s="3"/>
    </row>
    <row r="7" spans="1:16" ht="15" thickBot="1">
      <c r="A7" s="974"/>
      <c r="B7" s="933"/>
      <c r="C7" s="979"/>
      <c r="D7" s="259" t="s">
        <v>763</v>
      </c>
      <c r="E7" s="260" t="s">
        <v>764</v>
      </c>
      <c r="F7" s="261" t="s">
        <v>765</v>
      </c>
      <c r="G7" s="260" t="s">
        <v>766</v>
      </c>
      <c r="H7" s="260" t="s">
        <v>767</v>
      </c>
      <c r="I7" s="260" t="s">
        <v>768</v>
      </c>
      <c r="J7" s="260" t="s">
        <v>769</v>
      </c>
      <c r="K7" s="260" t="s">
        <v>770</v>
      </c>
      <c r="L7" s="260" t="s">
        <v>771</v>
      </c>
      <c r="M7" s="260" t="s">
        <v>772</v>
      </c>
      <c r="N7" s="260" t="s">
        <v>773</v>
      </c>
      <c r="O7" s="262" t="s">
        <v>774</v>
      </c>
      <c r="P7" s="3"/>
    </row>
    <row r="8" spans="1:16" ht="15.75">
      <c r="A8" s="981" t="s">
        <v>991</v>
      </c>
      <c r="B8" s="933"/>
      <c r="C8" s="979"/>
      <c r="D8" s="263" t="s">
        <v>992</v>
      </c>
      <c r="E8" s="264" t="s">
        <v>992</v>
      </c>
      <c r="F8" s="264" t="s">
        <v>992</v>
      </c>
      <c r="G8" s="264" t="s">
        <v>992</v>
      </c>
      <c r="H8" s="264" t="s">
        <v>992</v>
      </c>
      <c r="I8" s="264" t="s">
        <v>992</v>
      </c>
      <c r="J8" s="264" t="s">
        <v>992</v>
      </c>
      <c r="K8" s="264" t="s">
        <v>992</v>
      </c>
      <c r="L8" s="264" t="s">
        <v>992</v>
      </c>
      <c r="M8" s="264" t="s">
        <v>992</v>
      </c>
      <c r="N8" s="264" t="s">
        <v>992</v>
      </c>
      <c r="O8" s="265" t="s">
        <v>992</v>
      </c>
      <c r="P8" s="3"/>
    </row>
    <row r="9" spans="1:16" ht="15" customHeight="1" thickBot="1">
      <c r="A9" s="982"/>
      <c r="B9" s="910"/>
      <c r="C9" s="980"/>
      <c r="D9" s="267" t="s">
        <v>993</v>
      </c>
      <c r="E9" s="268" t="s">
        <v>993</v>
      </c>
      <c r="F9" s="268" t="s">
        <v>993</v>
      </c>
      <c r="G9" s="268" t="s">
        <v>993</v>
      </c>
      <c r="H9" s="268" t="s">
        <v>993</v>
      </c>
      <c r="I9" s="268" t="s">
        <v>993</v>
      </c>
      <c r="J9" s="268" t="s">
        <v>993</v>
      </c>
      <c r="K9" s="268" t="s">
        <v>993</v>
      </c>
      <c r="L9" s="268" t="s">
        <v>993</v>
      </c>
      <c r="M9" s="268" t="s">
        <v>993</v>
      </c>
      <c r="N9" s="268" t="s">
        <v>993</v>
      </c>
      <c r="O9" s="269" t="s">
        <v>993</v>
      </c>
      <c r="P9" s="3"/>
    </row>
    <row r="10" spans="1:16" ht="15" thickTop="1">
      <c r="A10" s="270">
        <v>1</v>
      </c>
      <c r="B10" s="271" t="s">
        <v>371</v>
      </c>
      <c r="C10" s="272"/>
      <c r="D10" s="273">
        <f>'记账凭证汇总'!E101-'记账凭证汇总'!F101</f>
        <v>0</v>
      </c>
      <c r="E10" s="274">
        <f>'记账凭证汇总'!I101-'记账凭证汇总'!J101</f>
        <v>0</v>
      </c>
      <c r="F10" s="274">
        <f>'记账凭证汇总'!M101-'记账凭证汇总'!N101</f>
        <v>0</v>
      </c>
      <c r="G10" s="274">
        <f>'记账凭证汇总'!Q101-'记账凭证汇总'!R101</f>
        <v>0</v>
      </c>
      <c r="H10" s="275">
        <f>'记账凭证汇总'!U101-'记账凭证汇总'!V101</f>
        <v>0</v>
      </c>
      <c r="I10" s="275">
        <f>'记账凭证汇总'!Y101-'记账凭证汇总'!Z101</f>
        <v>0</v>
      </c>
      <c r="J10" s="275">
        <f>'记账凭证汇总'!AC101-'记账凭证汇总'!AD101</f>
        <v>0</v>
      </c>
      <c r="K10" s="275">
        <f>'记账凭证汇总'!AG101-'记账凭证汇总'!AH101</f>
        <v>0</v>
      </c>
      <c r="L10" s="275">
        <f>'记账凭证汇总'!AK101-'记账凭证汇总'!AL101</f>
        <v>0</v>
      </c>
      <c r="M10" s="275">
        <f>'记账凭证汇总'!AO101-'记账凭证汇总'!AP101</f>
        <v>0</v>
      </c>
      <c r="N10" s="275">
        <f>'记账凭证汇总'!AS101-'记账凭证汇总'!AT101</f>
        <v>0</v>
      </c>
      <c r="O10" s="276">
        <f>'记账凭证汇总'!AW101-'记账凭证汇总'!AX101</f>
        <v>0</v>
      </c>
      <c r="P10" s="3"/>
    </row>
    <row r="11" spans="1:16" ht="14.25">
      <c r="A11" s="277">
        <v>2</v>
      </c>
      <c r="B11" s="278" t="s">
        <v>372</v>
      </c>
      <c r="C11" s="71"/>
      <c r="D11" s="273">
        <f>'记账凭证汇总'!E102-'记账凭证汇总'!F102</f>
        <v>400</v>
      </c>
      <c r="E11" s="279">
        <f>'记账凭证汇总'!I102-'记账凭证汇总'!J102</f>
        <v>0</v>
      </c>
      <c r="F11" s="279">
        <f>'记账凭证汇总'!M102-'记账凭证汇总'!N102</f>
        <v>0</v>
      </c>
      <c r="G11" s="279">
        <f>'记账凭证汇总'!Q102-'记账凭证汇总'!R102</f>
        <v>0</v>
      </c>
      <c r="H11" s="163">
        <f>'记账凭证汇总'!U102-'记账凭证汇总'!V102</f>
        <v>0</v>
      </c>
      <c r="I11" s="163">
        <f>'记账凭证汇总'!Y102-'记账凭证汇总'!Z102</f>
        <v>0</v>
      </c>
      <c r="J11" s="163">
        <f>'记账凭证汇总'!AC102-'记账凭证汇总'!AD102</f>
        <v>0</v>
      </c>
      <c r="K11" s="163">
        <f>'记账凭证汇总'!AG102-'记账凭证汇总'!AH102</f>
        <v>0</v>
      </c>
      <c r="L11" s="163">
        <f>'记账凭证汇总'!AK102-'记账凭证汇总'!AL102</f>
        <v>0</v>
      </c>
      <c r="M11" s="163">
        <f>'记账凭证汇总'!AO102-'记账凭证汇总'!AP102</f>
        <v>0</v>
      </c>
      <c r="N11" s="163">
        <f>'记账凭证汇总'!AS102-'记账凭证汇总'!AT102</f>
        <v>0</v>
      </c>
      <c r="O11" s="164">
        <f>'记账凭证汇总'!AW102-'记账凭证汇总'!AX102</f>
        <v>0</v>
      </c>
      <c r="P11" s="3"/>
    </row>
    <row r="12" spans="1:16" ht="15">
      <c r="A12" s="277">
        <v>3</v>
      </c>
      <c r="B12" s="278" t="s">
        <v>373</v>
      </c>
      <c r="C12" s="54"/>
      <c r="D12" s="273">
        <f>'记账凭证汇总'!E103-'记账凭证汇总'!F103</f>
        <v>0</v>
      </c>
      <c r="E12" s="279">
        <f>'记账凭证汇总'!I103-'记账凭证汇总'!J103</f>
        <v>0</v>
      </c>
      <c r="F12" s="279">
        <f>'记账凭证汇总'!M103-'记账凭证汇总'!N103</f>
        <v>0</v>
      </c>
      <c r="G12" s="279">
        <f>'记账凭证汇总'!Q103-'记账凭证汇总'!R103</f>
        <v>0</v>
      </c>
      <c r="H12" s="163">
        <f>'记账凭证汇总'!U103-'记账凭证汇总'!V103</f>
        <v>0</v>
      </c>
      <c r="I12" s="163">
        <f>'记账凭证汇总'!Y103-'记账凭证汇总'!Z103</f>
        <v>0</v>
      </c>
      <c r="J12" s="163">
        <f>'记账凭证汇总'!AC103-'记账凭证汇总'!AD103</f>
        <v>0</v>
      </c>
      <c r="K12" s="163">
        <f>'记账凭证汇总'!AG103-'记账凭证汇总'!AH103</f>
        <v>0</v>
      </c>
      <c r="L12" s="163">
        <f>'记账凭证汇总'!AK103-'记账凭证汇总'!AL103</f>
        <v>0</v>
      </c>
      <c r="M12" s="163">
        <f>'记账凭证汇总'!AO103-'记账凭证汇总'!AP103</f>
        <v>0</v>
      </c>
      <c r="N12" s="163">
        <f>'记账凭证汇总'!AS103-'记账凭证汇总'!AT103</f>
        <v>0</v>
      </c>
      <c r="O12" s="164">
        <f>'记账凭证汇总'!AW103-'记账凭证汇总'!AX103</f>
        <v>0</v>
      </c>
      <c r="P12" s="3"/>
    </row>
    <row r="13" spans="1:16" ht="15">
      <c r="A13" s="277">
        <v>4</v>
      </c>
      <c r="B13" s="278" t="s">
        <v>374</v>
      </c>
      <c r="C13" s="54"/>
      <c r="D13" s="273">
        <f>'记账凭证汇总'!E104-'记账凭证汇总'!F104</f>
        <v>0</v>
      </c>
      <c r="E13" s="279">
        <f>'记账凭证汇总'!I104-'记账凭证汇总'!J104</f>
        <v>0</v>
      </c>
      <c r="F13" s="279">
        <f>'记账凭证汇总'!M104-'记账凭证汇总'!N104</f>
        <v>0</v>
      </c>
      <c r="G13" s="279">
        <f>'记账凭证汇总'!Q104-'记账凭证汇总'!R104</f>
        <v>0</v>
      </c>
      <c r="H13" s="163">
        <f>'记账凭证汇总'!U104-'记账凭证汇总'!V104</f>
        <v>0</v>
      </c>
      <c r="I13" s="163">
        <f>'记账凭证汇总'!Y104-'记账凭证汇总'!Z104</f>
        <v>0</v>
      </c>
      <c r="J13" s="163">
        <f>'记账凭证汇总'!AC104-'记账凭证汇总'!AD104</f>
        <v>0</v>
      </c>
      <c r="K13" s="163">
        <f>'记账凭证汇总'!AG104-'记账凭证汇总'!AH104</f>
        <v>0</v>
      </c>
      <c r="L13" s="163">
        <f>'记账凭证汇总'!AK104-'记账凭证汇总'!AL104</f>
        <v>0</v>
      </c>
      <c r="M13" s="163">
        <f>'记账凭证汇总'!AO104-'记账凭证汇总'!AP104</f>
        <v>0</v>
      </c>
      <c r="N13" s="163">
        <f>'记账凭证汇总'!AS104-'记账凭证汇总'!AT104</f>
        <v>0</v>
      </c>
      <c r="O13" s="164">
        <f>'记账凭证汇总'!AW104-'记账凭证汇总'!AX104</f>
        <v>0</v>
      </c>
      <c r="P13" s="3"/>
    </row>
    <row r="14" spans="1:16" ht="15">
      <c r="A14" s="277">
        <v>5</v>
      </c>
      <c r="B14" s="278" t="s">
        <v>375</v>
      </c>
      <c r="C14" s="54"/>
      <c r="D14" s="273">
        <f>'记账凭证汇总'!E105-'记账凭证汇总'!F105</f>
        <v>0</v>
      </c>
      <c r="E14" s="279">
        <f>'记账凭证汇总'!I105-'记账凭证汇总'!J105</f>
        <v>0</v>
      </c>
      <c r="F14" s="279">
        <f>'记账凭证汇总'!M105-'记账凭证汇总'!N105</f>
        <v>0</v>
      </c>
      <c r="G14" s="279">
        <f>'记账凭证汇总'!Q105-'记账凭证汇总'!R105</f>
        <v>0</v>
      </c>
      <c r="H14" s="163">
        <f>'记账凭证汇总'!U105-'记账凭证汇总'!V105</f>
        <v>0</v>
      </c>
      <c r="I14" s="163">
        <f>'记账凭证汇总'!Y105-'记账凭证汇总'!Z105</f>
        <v>0</v>
      </c>
      <c r="J14" s="163">
        <f>'记账凭证汇总'!AC105-'记账凭证汇总'!AD105</f>
        <v>0</v>
      </c>
      <c r="K14" s="163">
        <f>'记账凭证汇总'!AG105-'记账凭证汇总'!AH105</f>
        <v>0</v>
      </c>
      <c r="L14" s="163">
        <f>'记账凭证汇总'!AK105-'记账凭证汇总'!AL105</f>
        <v>0</v>
      </c>
      <c r="M14" s="163">
        <f>'记账凭证汇总'!AO105-'记账凭证汇总'!AP105</f>
        <v>0</v>
      </c>
      <c r="N14" s="163">
        <f>'记账凭证汇总'!AS105-'记账凭证汇总'!AT105</f>
        <v>0</v>
      </c>
      <c r="O14" s="164">
        <f>'记账凭证汇总'!AW105-'记账凭证汇总'!AX105</f>
        <v>0</v>
      </c>
      <c r="P14" s="3"/>
    </row>
    <row r="15" spans="1:16" ht="15">
      <c r="A15" s="277">
        <v>6</v>
      </c>
      <c r="B15" s="278" t="s">
        <v>376</v>
      </c>
      <c r="C15" s="54"/>
      <c r="D15" s="273">
        <f>'记账凭证汇总'!E106-'记账凭证汇总'!F106</f>
        <v>0</v>
      </c>
      <c r="E15" s="279">
        <f>'记账凭证汇总'!I106-'记账凭证汇总'!J106</f>
        <v>0</v>
      </c>
      <c r="F15" s="279">
        <f>'记账凭证汇总'!M106-'记账凭证汇总'!N106</f>
        <v>0</v>
      </c>
      <c r="G15" s="279">
        <f>'记账凭证汇总'!Q106-'记账凭证汇总'!R106</f>
        <v>0</v>
      </c>
      <c r="H15" s="163">
        <f>'记账凭证汇总'!U106-'记账凭证汇总'!V106</f>
        <v>0</v>
      </c>
      <c r="I15" s="163">
        <f>'记账凭证汇总'!Y106-'记账凭证汇总'!Z106</f>
        <v>0</v>
      </c>
      <c r="J15" s="163">
        <f>'记账凭证汇总'!AC106-'记账凭证汇总'!AD106</f>
        <v>0</v>
      </c>
      <c r="K15" s="163">
        <f>'记账凭证汇总'!AG106-'记账凭证汇总'!AH106</f>
        <v>0</v>
      </c>
      <c r="L15" s="163">
        <f>'记账凭证汇总'!AK106-'记账凭证汇总'!AL106</f>
        <v>0</v>
      </c>
      <c r="M15" s="163">
        <f>'记账凭证汇总'!AO106-'记账凭证汇总'!AP106</f>
        <v>0</v>
      </c>
      <c r="N15" s="163">
        <f>'记账凭证汇总'!AS106-'记账凭证汇总'!AT106</f>
        <v>0</v>
      </c>
      <c r="O15" s="164">
        <f>'记账凭证汇总'!AW106-'记账凭证汇总'!AX106</f>
        <v>0</v>
      </c>
      <c r="P15" s="3"/>
    </row>
    <row r="16" spans="1:16" ht="15">
      <c r="A16" s="277">
        <v>7</v>
      </c>
      <c r="B16" s="278" t="s">
        <v>377</v>
      </c>
      <c r="C16" s="54"/>
      <c r="D16" s="273">
        <f>'记账凭证汇总'!E107-'记账凭证汇总'!F107</f>
        <v>0</v>
      </c>
      <c r="E16" s="279">
        <f>'记账凭证汇总'!I107-'记账凭证汇总'!J107</f>
        <v>0</v>
      </c>
      <c r="F16" s="279">
        <f>'记账凭证汇总'!M107-'记账凭证汇总'!N107</f>
        <v>0</v>
      </c>
      <c r="G16" s="279">
        <f>'记账凭证汇总'!Q107-'记账凭证汇总'!R107</f>
        <v>0</v>
      </c>
      <c r="H16" s="163">
        <f>'记账凭证汇总'!U107-'记账凭证汇总'!V107</f>
        <v>0</v>
      </c>
      <c r="I16" s="163">
        <f>'记账凭证汇总'!Y107-'记账凭证汇总'!Z107</f>
        <v>0</v>
      </c>
      <c r="J16" s="163">
        <f>'记账凭证汇总'!AC107-'记账凭证汇总'!AD107</f>
        <v>0</v>
      </c>
      <c r="K16" s="163">
        <f>'记账凭证汇总'!AG107-'记账凭证汇总'!AH107</f>
        <v>0</v>
      </c>
      <c r="L16" s="163">
        <f>'记账凭证汇总'!AK107-'记账凭证汇总'!AL107</f>
        <v>0</v>
      </c>
      <c r="M16" s="163">
        <f>'记账凭证汇总'!AO107-'记账凭证汇总'!AP107</f>
        <v>0</v>
      </c>
      <c r="N16" s="163">
        <f>'记账凭证汇总'!AS107-'记账凭证汇总'!AT107</f>
        <v>0</v>
      </c>
      <c r="O16" s="164">
        <f>'记账凭证汇总'!AW107-'记账凭证汇总'!AX107</f>
        <v>0</v>
      </c>
      <c r="P16" s="3"/>
    </row>
    <row r="17" spans="1:16" ht="15">
      <c r="A17" s="277">
        <v>8</v>
      </c>
      <c r="B17" s="278"/>
      <c r="C17" s="54"/>
      <c r="D17" s="273"/>
      <c r="E17" s="279"/>
      <c r="F17" s="279"/>
      <c r="G17" s="279"/>
      <c r="H17" s="163"/>
      <c r="I17" s="163"/>
      <c r="J17" s="163"/>
      <c r="K17" s="163"/>
      <c r="L17" s="163"/>
      <c r="M17" s="163"/>
      <c r="N17" s="163"/>
      <c r="O17" s="164"/>
      <c r="P17" s="3"/>
    </row>
    <row r="18" spans="1:16" ht="14.25">
      <c r="A18" s="277">
        <v>9</v>
      </c>
      <c r="B18" s="278"/>
      <c r="C18" s="71"/>
      <c r="D18" s="273"/>
      <c r="E18" s="279"/>
      <c r="F18" s="279"/>
      <c r="G18" s="279"/>
      <c r="H18" s="163"/>
      <c r="I18" s="163"/>
      <c r="J18" s="163"/>
      <c r="K18" s="163"/>
      <c r="L18" s="163"/>
      <c r="M18" s="163"/>
      <c r="N18" s="163"/>
      <c r="O18" s="164"/>
      <c r="P18" s="3"/>
    </row>
    <row r="19" spans="1:16" ht="15.75" thickBot="1">
      <c r="A19" s="284">
        <v>10</v>
      </c>
      <c r="B19" s="285" t="s">
        <v>994</v>
      </c>
      <c r="C19" s="286" t="s">
        <v>995</v>
      </c>
      <c r="D19" s="287">
        <f aca="true" t="shared" si="0" ref="D19:O19">SUM(D10:D18)</f>
        <v>400</v>
      </c>
      <c r="E19" s="288">
        <f t="shared" si="0"/>
        <v>0</v>
      </c>
      <c r="F19" s="288">
        <f t="shared" si="0"/>
        <v>0</v>
      </c>
      <c r="G19" s="288">
        <f t="shared" si="0"/>
        <v>0</v>
      </c>
      <c r="H19" s="288">
        <f t="shared" si="0"/>
        <v>0</v>
      </c>
      <c r="I19" s="288">
        <f t="shared" si="0"/>
        <v>0</v>
      </c>
      <c r="J19" s="288">
        <f t="shared" si="0"/>
        <v>0</v>
      </c>
      <c r="K19" s="288">
        <f t="shared" si="0"/>
        <v>0</v>
      </c>
      <c r="L19" s="288">
        <f t="shared" si="0"/>
        <v>0</v>
      </c>
      <c r="M19" s="288">
        <f t="shared" si="0"/>
        <v>0</v>
      </c>
      <c r="N19" s="288">
        <f t="shared" si="0"/>
        <v>0</v>
      </c>
      <c r="O19" s="289">
        <f t="shared" si="0"/>
        <v>0</v>
      </c>
      <c r="P19" s="3"/>
    </row>
    <row r="20" spans="1:16" ht="16.5" thickBot="1" thickTop="1">
      <c r="A20" s="797" t="s">
        <v>433</v>
      </c>
      <c r="B20" s="798"/>
      <c r="C20" s="799"/>
      <c r="P20" s="3"/>
    </row>
    <row r="21" spans="1:16" ht="15" thickTop="1">
      <c r="A21" s="973" t="s">
        <v>989</v>
      </c>
      <c r="B21" s="975" t="s">
        <v>990</v>
      </c>
      <c r="C21" s="978"/>
      <c r="D21" s="290" t="s">
        <v>996</v>
      </c>
      <c r="E21" s="160" t="s">
        <v>997</v>
      </c>
      <c r="F21" s="291" t="s">
        <v>998</v>
      </c>
      <c r="G21" s="160" t="s">
        <v>999</v>
      </c>
      <c r="H21" s="160" t="s">
        <v>1000</v>
      </c>
      <c r="I21" s="160" t="s">
        <v>1001</v>
      </c>
      <c r="J21" s="160" t="s">
        <v>1002</v>
      </c>
      <c r="K21" s="160" t="s">
        <v>1003</v>
      </c>
      <c r="L21" s="160" t="s">
        <v>1004</v>
      </c>
      <c r="M21" s="160" t="s">
        <v>1005</v>
      </c>
      <c r="N21" s="160" t="s">
        <v>1006</v>
      </c>
      <c r="O21" s="292" t="s">
        <v>1007</v>
      </c>
      <c r="P21" s="3"/>
    </row>
    <row r="22" spans="1:16" ht="15" thickBot="1">
      <c r="A22" s="974"/>
      <c r="B22" s="976"/>
      <c r="C22" s="979"/>
      <c r="D22" s="259" t="s">
        <v>763</v>
      </c>
      <c r="E22" s="260" t="s">
        <v>764</v>
      </c>
      <c r="F22" s="261" t="s">
        <v>765</v>
      </c>
      <c r="G22" s="260" t="s">
        <v>766</v>
      </c>
      <c r="H22" s="260" t="s">
        <v>767</v>
      </c>
      <c r="I22" s="260" t="s">
        <v>768</v>
      </c>
      <c r="J22" s="260" t="s">
        <v>769</v>
      </c>
      <c r="K22" s="260" t="s">
        <v>770</v>
      </c>
      <c r="L22" s="260" t="s">
        <v>771</v>
      </c>
      <c r="M22" s="260" t="s">
        <v>772</v>
      </c>
      <c r="N22" s="260" t="s">
        <v>773</v>
      </c>
      <c r="O22" s="262" t="s">
        <v>774</v>
      </c>
      <c r="P22" s="3"/>
    </row>
    <row r="23" spans="1:16" ht="15.75">
      <c r="A23" s="981" t="s">
        <v>991</v>
      </c>
      <c r="B23" s="976"/>
      <c r="C23" s="979"/>
      <c r="D23" s="263" t="s">
        <v>1008</v>
      </c>
      <c r="E23" s="264" t="s">
        <v>1008</v>
      </c>
      <c r="F23" s="264" t="s">
        <v>1008</v>
      </c>
      <c r="G23" s="264" t="s">
        <v>1008</v>
      </c>
      <c r="H23" s="264" t="s">
        <v>1008</v>
      </c>
      <c r="I23" s="264" t="s">
        <v>1008</v>
      </c>
      <c r="J23" s="264" t="s">
        <v>1008</v>
      </c>
      <c r="K23" s="264" t="s">
        <v>1008</v>
      </c>
      <c r="L23" s="264" t="s">
        <v>1008</v>
      </c>
      <c r="M23" s="264" t="s">
        <v>1008</v>
      </c>
      <c r="N23" s="264" t="s">
        <v>1008</v>
      </c>
      <c r="O23" s="265" t="s">
        <v>1008</v>
      </c>
      <c r="P23" s="3"/>
    </row>
    <row r="24" spans="1:16" ht="15" thickBot="1">
      <c r="A24" s="982"/>
      <c r="B24" s="977"/>
      <c r="C24" s="980"/>
      <c r="D24" s="293" t="s">
        <v>987</v>
      </c>
      <c r="E24" s="294" t="s">
        <v>987</v>
      </c>
      <c r="F24" s="294" t="s">
        <v>987</v>
      </c>
      <c r="G24" s="294" t="s">
        <v>987</v>
      </c>
      <c r="H24" s="294" t="s">
        <v>987</v>
      </c>
      <c r="I24" s="294" t="s">
        <v>987</v>
      </c>
      <c r="J24" s="294" t="s">
        <v>987</v>
      </c>
      <c r="K24" s="294" t="s">
        <v>987</v>
      </c>
      <c r="L24" s="294" t="s">
        <v>987</v>
      </c>
      <c r="M24" s="294" t="s">
        <v>987</v>
      </c>
      <c r="N24" s="294" t="s">
        <v>987</v>
      </c>
      <c r="O24" s="295" t="s">
        <v>987</v>
      </c>
      <c r="P24" s="3"/>
    </row>
    <row r="25" spans="1:16" ht="15" thickTop="1">
      <c r="A25" s="270">
        <v>1</v>
      </c>
      <c r="B25" s="271" t="str">
        <f aca="true" t="shared" si="1" ref="B25:B33">B10</f>
        <v>土地征用费</v>
      </c>
      <c r="C25" s="272"/>
      <c r="D25" s="296">
        <f aca="true" t="shared" si="2" ref="D25:D33">D10</f>
        <v>0</v>
      </c>
      <c r="E25" s="297">
        <f aca="true" t="shared" si="3" ref="E25:O25">D25+E10</f>
        <v>0</v>
      </c>
      <c r="F25" s="297">
        <f t="shared" si="3"/>
        <v>0</v>
      </c>
      <c r="G25" s="297">
        <f t="shared" si="3"/>
        <v>0</v>
      </c>
      <c r="H25" s="297">
        <f t="shared" si="3"/>
        <v>0</v>
      </c>
      <c r="I25" s="297">
        <f t="shared" si="3"/>
        <v>0</v>
      </c>
      <c r="J25" s="297">
        <f t="shared" si="3"/>
        <v>0</v>
      </c>
      <c r="K25" s="297">
        <f t="shared" si="3"/>
        <v>0</v>
      </c>
      <c r="L25" s="297">
        <f t="shared" si="3"/>
        <v>0</v>
      </c>
      <c r="M25" s="297">
        <f t="shared" si="3"/>
        <v>0</v>
      </c>
      <c r="N25" s="297">
        <f t="shared" si="3"/>
        <v>0</v>
      </c>
      <c r="O25" s="298">
        <f t="shared" si="3"/>
        <v>0</v>
      </c>
      <c r="P25" s="3"/>
    </row>
    <row r="26" spans="1:16" ht="14.25">
      <c r="A26" s="277">
        <v>2</v>
      </c>
      <c r="B26" s="278" t="str">
        <f t="shared" si="1"/>
        <v>拆迁补偿费</v>
      </c>
      <c r="C26" s="71"/>
      <c r="D26" s="169">
        <f t="shared" si="2"/>
        <v>400</v>
      </c>
      <c r="E26" s="157">
        <f aca="true" t="shared" si="4" ref="E26:O26">D26+E11</f>
        <v>400</v>
      </c>
      <c r="F26" s="157">
        <f t="shared" si="4"/>
        <v>400</v>
      </c>
      <c r="G26" s="157">
        <f t="shared" si="4"/>
        <v>400</v>
      </c>
      <c r="H26" s="157">
        <f t="shared" si="4"/>
        <v>400</v>
      </c>
      <c r="I26" s="157">
        <f t="shared" si="4"/>
        <v>400</v>
      </c>
      <c r="J26" s="157">
        <f t="shared" si="4"/>
        <v>400</v>
      </c>
      <c r="K26" s="157">
        <f t="shared" si="4"/>
        <v>400</v>
      </c>
      <c r="L26" s="157">
        <f t="shared" si="4"/>
        <v>400</v>
      </c>
      <c r="M26" s="157">
        <f t="shared" si="4"/>
        <v>400</v>
      </c>
      <c r="N26" s="157">
        <f t="shared" si="4"/>
        <v>400</v>
      </c>
      <c r="O26" s="158">
        <f t="shared" si="4"/>
        <v>400</v>
      </c>
      <c r="P26" s="3"/>
    </row>
    <row r="27" spans="1:16" ht="15">
      <c r="A27" s="277">
        <v>3</v>
      </c>
      <c r="B27" s="278" t="str">
        <f t="shared" si="1"/>
        <v>前期工程费</v>
      </c>
      <c r="C27" s="54"/>
      <c r="D27" s="169">
        <f t="shared" si="2"/>
        <v>0</v>
      </c>
      <c r="E27" s="157">
        <f aca="true" t="shared" si="5" ref="E27:O27">D27+E12</f>
        <v>0</v>
      </c>
      <c r="F27" s="157">
        <f t="shared" si="5"/>
        <v>0</v>
      </c>
      <c r="G27" s="157">
        <f t="shared" si="5"/>
        <v>0</v>
      </c>
      <c r="H27" s="157">
        <f t="shared" si="5"/>
        <v>0</v>
      </c>
      <c r="I27" s="157">
        <f t="shared" si="5"/>
        <v>0</v>
      </c>
      <c r="J27" s="157">
        <f t="shared" si="5"/>
        <v>0</v>
      </c>
      <c r="K27" s="157">
        <f t="shared" si="5"/>
        <v>0</v>
      </c>
      <c r="L27" s="157">
        <f t="shared" si="5"/>
        <v>0</v>
      </c>
      <c r="M27" s="157">
        <f t="shared" si="5"/>
        <v>0</v>
      </c>
      <c r="N27" s="157">
        <f t="shared" si="5"/>
        <v>0</v>
      </c>
      <c r="O27" s="158">
        <f t="shared" si="5"/>
        <v>0</v>
      </c>
      <c r="P27" s="3"/>
    </row>
    <row r="28" spans="1:16" ht="15">
      <c r="A28" s="277">
        <v>4</v>
      </c>
      <c r="B28" s="278" t="str">
        <f t="shared" si="1"/>
        <v>基建设施费</v>
      </c>
      <c r="C28" s="54"/>
      <c r="D28" s="169">
        <f t="shared" si="2"/>
        <v>0</v>
      </c>
      <c r="E28" s="157">
        <f aca="true" t="shared" si="6" ref="E28:O28">D28+E13</f>
        <v>0</v>
      </c>
      <c r="F28" s="157">
        <f t="shared" si="6"/>
        <v>0</v>
      </c>
      <c r="G28" s="157">
        <f t="shared" si="6"/>
        <v>0</v>
      </c>
      <c r="H28" s="157">
        <f t="shared" si="6"/>
        <v>0</v>
      </c>
      <c r="I28" s="157">
        <f t="shared" si="6"/>
        <v>0</v>
      </c>
      <c r="J28" s="157">
        <f t="shared" si="6"/>
        <v>0</v>
      </c>
      <c r="K28" s="157">
        <f t="shared" si="6"/>
        <v>0</v>
      </c>
      <c r="L28" s="157">
        <f t="shared" si="6"/>
        <v>0</v>
      </c>
      <c r="M28" s="157">
        <f t="shared" si="6"/>
        <v>0</v>
      </c>
      <c r="N28" s="157">
        <f t="shared" si="6"/>
        <v>0</v>
      </c>
      <c r="O28" s="158">
        <f t="shared" si="6"/>
        <v>0</v>
      </c>
      <c r="P28" s="3"/>
    </row>
    <row r="29" spans="1:16" ht="15">
      <c r="A29" s="277">
        <v>5</v>
      </c>
      <c r="B29" s="278" t="str">
        <f t="shared" si="1"/>
        <v>建筑安装工程费</v>
      </c>
      <c r="C29" s="54"/>
      <c r="D29" s="169">
        <f t="shared" si="2"/>
        <v>0</v>
      </c>
      <c r="E29" s="157">
        <f aca="true" t="shared" si="7" ref="E29:O29">D29+E14</f>
        <v>0</v>
      </c>
      <c r="F29" s="157">
        <f t="shared" si="7"/>
        <v>0</v>
      </c>
      <c r="G29" s="157">
        <f t="shared" si="7"/>
        <v>0</v>
      </c>
      <c r="H29" s="157">
        <f t="shared" si="7"/>
        <v>0</v>
      </c>
      <c r="I29" s="157">
        <f t="shared" si="7"/>
        <v>0</v>
      </c>
      <c r="J29" s="157">
        <f t="shared" si="7"/>
        <v>0</v>
      </c>
      <c r="K29" s="157">
        <f t="shared" si="7"/>
        <v>0</v>
      </c>
      <c r="L29" s="157">
        <f t="shared" si="7"/>
        <v>0</v>
      </c>
      <c r="M29" s="157">
        <f t="shared" si="7"/>
        <v>0</v>
      </c>
      <c r="N29" s="157">
        <f t="shared" si="7"/>
        <v>0</v>
      </c>
      <c r="O29" s="158">
        <f t="shared" si="7"/>
        <v>0</v>
      </c>
      <c r="P29" s="3"/>
    </row>
    <row r="30" spans="1:16" ht="15">
      <c r="A30" s="277">
        <v>6</v>
      </c>
      <c r="B30" s="278" t="str">
        <f t="shared" si="1"/>
        <v>配套设施费</v>
      </c>
      <c r="C30" s="54"/>
      <c r="D30" s="169">
        <f t="shared" si="2"/>
        <v>0</v>
      </c>
      <c r="E30" s="157">
        <f aca="true" t="shared" si="8" ref="E30:O30">D30+E15</f>
        <v>0</v>
      </c>
      <c r="F30" s="157">
        <f t="shared" si="8"/>
        <v>0</v>
      </c>
      <c r="G30" s="157">
        <f t="shared" si="8"/>
        <v>0</v>
      </c>
      <c r="H30" s="157">
        <f t="shared" si="8"/>
        <v>0</v>
      </c>
      <c r="I30" s="157">
        <f t="shared" si="8"/>
        <v>0</v>
      </c>
      <c r="J30" s="157">
        <f t="shared" si="8"/>
        <v>0</v>
      </c>
      <c r="K30" s="157">
        <f t="shared" si="8"/>
        <v>0</v>
      </c>
      <c r="L30" s="157">
        <f t="shared" si="8"/>
        <v>0</v>
      </c>
      <c r="M30" s="157">
        <f t="shared" si="8"/>
        <v>0</v>
      </c>
      <c r="N30" s="157">
        <f t="shared" si="8"/>
        <v>0</v>
      </c>
      <c r="O30" s="158">
        <f t="shared" si="8"/>
        <v>0</v>
      </c>
      <c r="P30" s="3"/>
    </row>
    <row r="31" spans="1:16" ht="15">
      <c r="A31" s="277">
        <v>7</v>
      </c>
      <c r="B31" s="278" t="str">
        <f t="shared" si="1"/>
        <v>开发间接费</v>
      </c>
      <c r="C31" s="54"/>
      <c r="D31" s="169">
        <f t="shared" si="2"/>
        <v>0</v>
      </c>
      <c r="E31" s="157">
        <f aca="true" t="shared" si="9" ref="E31:O31">D31+E16</f>
        <v>0</v>
      </c>
      <c r="F31" s="157">
        <f t="shared" si="9"/>
        <v>0</v>
      </c>
      <c r="G31" s="157">
        <f t="shared" si="9"/>
        <v>0</v>
      </c>
      <c r="H31" s="157">
        <f t="shared" si="9"/>
        <v>0</v>
      </c>
      <c r="I31" s="157">
        <f t="shared" si="9"/>
        <v>0</v>
      </c>
      <c r="J31" s="157">
        <f t="shared" si="9"/>
        <v>0</v>
      </c>
      <c r="K31" s="157">
        <f t="shared" si="9"/>
        <v>0</v>
      </c>
      <c r="L31" s="157">
        <f t="shared" si="9"/>
        <v>0</v>
      </c>
      <c r="M31" s="157">
        <f t="shared" si="9"/>
        <v>0</v>
      </c>
      <c r="N31" s="157">
        <f t="shared" si="9"/>
        <v>0</v>
      </c>
      <c r="O31" s="158">
        <f t="shared" si="9"/>
        <v>0</v>
      </c>
      <c r="P31" s="3"/>
    </row>
    <row r="32" spans="1:16" ht="15">
      <c r="A32" s="277">
        <v>8</v>
      </c>
      <c r="B32" s="278">
        <f t="shared" si="1"/>
        <v>0</v>
      </c>
      <c r="C32" s="54"/>
      <c r="D32" s="162">
        <f t="shared" si="2"/>
        <v>0</v>
      </c>
      <c r="E32" s="163">
        <f aca="true" t="shared" si="10" ref="E32:O32">D32+E17</f>
        <v>0</v>
      </c>
      <c r="F32" s="163">
        <f t="shared" si="10"/>
        <v>0</v>
      </c>
      <c r="G32" s="163">
        <f t="shared" si="10"/>
        <v>0</v>
      </c>
      <c r="H32" s="163">
        <f t="shared" si="10"/>
        <v>0</v>
      </c>
      <c r="I32" s="163">
        <f t="shared" si="10"/>
        <v>0</v>
      </c>
      <c r="J32" s="163">
        <f t="shared" si="10"/>
        <v>0</v>
      </c>
      <c r="K32" s="163">
        <f t="shared" si="10"/>
        <v>0</v>
      </c>
      <c r="L32" s="163">
        <f t="shared" si="10"/>
        <v>0</v>
      </c>
      <c r="M32" s="163">
        <f t="shared" si="10"/>
        <v>0</v>
      </c>
      <c r="N32" s="163">
        <f t="shared" si="10"/>
        <v>0</v>
      </c>
      <c r="O32" s="164">
        <f t="shared" si="10"/>
        <v>0</v>
      </c>
      <c r="P32" s="3"/>
    </row>
    <row r="33" spans="1:16" ht="15" customHeight="1">
      <c r="A33" s="277">
        <v>9</v>
      </c>
      <c r="B33" s="278">
        <f t="shared" si="1"/>
        <v>0</v>
      </c>
      <c r="C33" s="71"/>
      <c r="D33" s="273">
        <f t="shared" si="2"/>
        <v>0</v>
      </c>
      <c r="E33" s="279">
        <f aca="true" t="shared" si="11" ref="E33:O33">D33+E18</f>
        <v>0</v>
      </c>
      <c r="F33" s="279">
        <f t="shared" si="11"/>
        <v>0</v>
      </c>
      <c r="G33" s="279">
        <f t="shared" si="11"/>
        <v>0</v>
      </c>
      <c r="H33" s="279">
        <f t="shared" si="11"/>
        <v>0</v>
      </c>
      <c r="I33" s="279">
        <f t="shared" si="11"/>
        <v>0</v>
      </c>
      <c r="J33" s="279">
        <f t="shared" si="11"/>
        <v>0</v>
      </c>
      <c r="K33" s="279">
        <f t="shared" si="11"/>
        <v>0</v>
      </c>
      <c r="L33" s="279">
        <f t="shared" si="11"/>
        <v>0</v>
      </c>
      <c r="M33" s="279">
        <f t="shared" si="11"/>
        <v>0</v>
      </c>
      <c r="N33" s="279">
        <f t="shared" si="11"/>
        <v>0</v>
      </c>
      <c r="O33" s="299">
        <f t="shared" si="11"/>
        <v>0</v>
      </c>
      <c r="P33" s="3"/>
    </row>
    <row r="34" spans="1:16" ht="15.75" thickBot="1">
      <c r="A34" s="284">
        <v>10</v>
      </c>
      <c r="B34" s="285" t="s">
        <v>994</v>
      </c>
      <c r="C34" s="286"/>
      <c r="D34" s="309">
        <f aca="true" t="shared" si="12" ref="D34:O34">SUM(D25:D33)</f>
        <v>400</v>
      </c>
      <c r="E34" s="310">
        <f t="shared" si="12"/>
        <v>400</v>
      </c>
      <c r="F34" s="310">
        <f t="shared" si="12"/>
        <v>400</v>
      </c>
      <c r="G34" s="310">
        <f t="shared" si="12"/>
        <v>400</v>
      </c>
      <c r="H34" s="310">
        <f t="shared" si="12"/>
        <v>400</v>
      </c>
      <c r="I34" s="310">
        <f t="shared" si="12"/>
        <v>400</v>
      </c>
      <c r="J34" s="310">
        <f t="shared" si="12"/>
        <v>400</v>
      </c>
      <c r="K34" s="310">
        <f t="shared" si="12"/>
        <v>400</v>
      </c>
      <c r="L34" s="310">
        <f t="shared" si="12"/>
        <v>400</v>
      </c>
      <c r="M34" s="310">
        <f t="shared" si="12"/>
        <v>400</v>
      </c>
      <c r="N34" s="310">
        <f t="shared" si="12"/>
        <v>400</v>
      </c>
      <c r="O34" s="311">
        <f t="shared" si="12"/>
        <v>400</v>
      </c>
      <c r="P34" s="3"/>
    </row>
    <row r="35" spans="1:3" ht="16.5" thickBot="1" thickTop="1">
      <c r="A35" s="797" t="s">
        <v>435</v>
      </c>
      <c r="B35" s="798"/>
      <c r="C35" s="799"/>
    </row>
    <row r="36" spans="1:16" ht="15" thickTop="1">
      <c r="A36" s="973" t="s">
        <v>989</v>
      </c>
      <c r="B36" s="975" t="s">
        <v>990</v>
      </c>
      <c r="C36" s="978"/>
      <c r="D36" s="290" t="s">
        <v>996</v>
      </c>
      <c r="E36" s="160" t="s">
        <v>997</v>
      </c>
      <c r="F36" s="291" t="s">
        <v>998</v>
      </c>
      <c r="G36" s="160" t="s">
        <v>999</v>
      </c>
      <c r="H36" s="160" t="s">
        <v>1000</v>
      </c>
      <c r="I36" s="160" t="s">
        <v>1001</v>
      </c>
      <c r="J36" s="160" t="s">
        <v>1002</v>
      </c>
      <c r="K36" s="160" t="s">
        <v>1003</v>
      </c>
      <c r="L36" s="160" t="s">
        <v>1004</v>
      </c>
      <c r="M36" s="160" t="s">
        <v>1005</v>
      </c>
      <c r="N36" s="160" t="s">
        <v>1006</v>
      </c>
      <c r="O36" s="292" t="s">
        <v>1007</v>
      </c>
      <c r="P36" s="3"/>
    </row>
    <row r="37" spans="1:16" ht="15" thickBot="1">
      <c r="A37" s="974"/>
      <c r="B37" s="976"/>
      <c r="C37" s="979"/>
      <c r="D37" s="259" t="s">
        <v>763</v>
      </c>
      <c r="E37" s="260" t="s">
        <v>764</v>
      </c>
      <c r="F37" s="261" t="s">
        <v>765</v>
      </c>
      <c r="G37" s="260" t="s">
        <v>766</v>
      </c>
      <c r="H37" s="260" t="s">
        <v>767</v>
      </c>
      <c r="I37" s="260" t="s">
        <v>768</v>
      </c>
      <c r="J37" s="260" t="s">
        <v>769</v>
      </c>
      <c r="K37" s="260" t="s">
        <v>770</v>
      </c>
      <c r="L37" s="260" t="s">
        <v>771</v>
      </c>
      <c r="M37" s="260" t="s">
        <v>772</v>
      </c>
      <c r="N37" s="260" t="s">
        <v>773</v>
      </c>
      <c r="O37" s="262" t="s">
        <v>774</v>
      </c>
      <c r="P37" s="3"/>
    </row>
    <row r="38" spans="1:16" ht="15.75">
      <c r="A38" s="981" t="s">
        <v>991</v>
      </c>
      <c r="B38" s="976"/>
      <c r="C38" s="979"/>
      <c r="D38" s="690" t="s">
        <v>387</v>
      </c>
      <c r="E38" s="691" t="s">
        <v>387</v>
      </c>
      <c r="F38" s="691" t="s">
        <v>387</v>
      </c>
      <c r="G38" s="691" t="s">
        <v>387</v>
      </c>
      <c r="H38" s="691" t="s">
        <v>387</v>
      </c>
      <c r="I38" s="691" t="s">
        <v>387</v>
      </c>
      <c r="J38" s="691" t="s">
        <v>387</v>
      </c>
      <c r="K38" s="691" t="s">
        <v>387</v>
      </c>
      <c r="L38" s="691" t="s">
        <v>387</v>
      </c>
      <c r="M38" s="691" t="s">
        <v>387</v>
      </c>
      <c r="N38" s="691" t="s">
        <v>387</v>
      </c>
      <c r="O38" s="692" t="s">
        <v>387</v>
      </c>
      <c r="P38" s="3"/>
    </row>
    <row r="39" spans="1:16" ht="15" thickBot="1">
      <c r="A39" s="982"/>
      <c r="B39" s="977"/>
      <c r="C39" s="980"/>
      <c r="D39" s="293" t="s">
        <v>987</v>
      </c>
      <c r="E39" s="294" t="s">
        <v>987</v>
      </c>
      <c r="F39" s="294" t="s">
        <v>987</v>
      </c>
      <c r="G39" s="294" t="s">
        <v>987</v>
      </c>
      <c r="H39" s="294" t="s">
        <v>987</v>
      </c>
      <c r="I39" s="294" t="s">
        <v>987</v>
      </c>
      <c r="J39" s="294" t="s">
        <v>987</v>
      </c>
      <c r="K39" s="294" t="s">
        <v>987</v>
      </c>
      <c r="L39" s="294" t="s">
        <v>987</v>
      </c>
      <c r="M39" s="294" t="s">
        <v>987</v>
      </c>
      <c r="N39" s="294" t="s">
        <v>987</v>
      </c>
      <c r="O39" s="295" t="s">
        <v>987</v>
      </c>
      <c r="P39" s="3"/>
    </row>
    <row r="40" spans="1:16" ht="15" thickTop="1">
      <c r="A40" s="270">
        <v>1</v>
      </c>
      <c r="B40" s="271" t="str">
        <f aca="true" t="shared" si="13" ref="B40:B48">B25</f>
        <v>土地征用费</v>
      </c>
      <c r="C40" s="272"/>
      <c r="D40" s="296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8"/>
      <c r="P40" s="3"/>
    </row>
    <row r="41" spans="1:16" ht="14.25">
      <c r="A41" s="277">
        <v>2</v>
      </c>
      <c r="B41" s="278" t="str">
        <f t="shared" si="13"/>
        <v>拆迁补偿费</v>
      </c>
      <c r="C41" s="71"/>
      <c r="D41" s="169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8"/>
      <c r="P41" s="3"/>
    </row>
    <row r="42" spans="1:16" ht="15">
      <c r="A42" s="277">
        <v>3</v>
      </c>
      <c r="B42" s="278" t="str">
        <f t="shared" si="13"/>
        <v>前期工程费</v>
      </c>
      <c r="C42" s="54"/>
      <c r="D42" s="296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/>
      <c r="P42" s="3"/>
    </row>
    <row r="43" spans="1:16" ht="15">
      <c r="A43" s="277">
        <v>4</v>
      </c>
      <c r="B43" s="278" t="str">
        <f t="shared" si="13"/>
        <v>基建设施费</v>
      </c>
      <c r="C43" s="54"/>
      <c r="D43" s="169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8"/>
      <c r="P43" s="3"/>
    </row>
    <row r="44" spans="1:16" ht="15">
      <c r="A44" s="277">
        <v>5</v>
      </c>
      <c r="B44" s="278" t="str">
        <f t="shared" si="13"/>
        <v>建筑安装工程费</v>
      </c>
      <c r="C44" s="54"/>
      <c r="D44" s="296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8"/>
      <c r="P44" s="3"/>
    </row>
    <row r="45" spans="1:16" ht="15">
      <c r="A45" s="277">
        <v>6</v>
      </c>
      <c r="B45" s="278" t="str">
        <f t="shared" si="13"/>
        <v>配套设施费</v>
      </c>
      <c r="C45" s="54"/>
      <c r="D45" s="16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8"/>
      <c r="P45" s="3"/>
    </row>
    <row r="46" spans="1:16" ht="15">
      <c r="A46" s="277">
        <v>7</v>
      </c>
      <c r="B46" s="278" t="str">
        <f t="shared" si="13"/>
        <v>开发间接费</v>
      </c>
      <c r="C46" s="54"/>
      <c r="D46" s="296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8"/>
      <c r="P46" s="3"/>
    </row>
    <row r="47" spans="1:16" ht="15">
      <c r="A47" s="277">
        <v>8</v>
      </c>
      <c r="B47" s="278">
        <f t="shared" si="13"/>
        <v>0</v>
      </c>
      <c r="C47" s="54"/>
      <c r="D47" s="169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4"/>
      <c r="P47" s="3"/>
    </row>
    <row r="48" spans="1:16" ht="15" customHeight="1">
      <c r="A48" s="277">
        <v>9</v>
      </c>
      <c r="B48" s="278">
        <f t="shared" si="13"/>
        <v>0</v>
      </c>
      <c r="C48" s="71"/>
      <c r="D48" s="296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99"/>
      <c r="P48" s="3"/>
    </row>
    <row r="49" spans="1:16" ht="15.75" thickBot="1">
      <c r="A49" s="284">
        <v>10</v>
      </c>
      <c r="B49" s="285" t="s">
        <v>994</v>
      </c>
      <c r="C49" s="286"/>
      <c r="D49" s="309">
        <f aca="true" t="shared" si="14" ref="D49:O49">SUM(D40:D48)</f>
        <v>0</v>
      </c>
      <c r="E49" s="310">
        <f t="shared" si="14"/>
        <v>0</v>
      </c>
      <c r="F49" s="310">
        <f t="shared" si="14"/>
        <v>0</v>
      </c>
      <c r="G49" s="310">
        <f t="shared" si="14"/>
        <v>0</v>
      </c>
      <c r="H49" s="310">
        <f t="shared" si="14"/>
        <v>0</v>
      </c>
      <c r="I49" s="310">
        <f t="shared" si="14"/>
        <v>0</v>
      </c>
      <c r="J49" s="310">
        <f t="shared" si="14"/>
        <v>0</v>
      </c>
      <c r="K49" s="310">
        <f t="shared" si="14"/>
        <v>0</v>
      </c>
      <c r="L49" s="310">
        <f t="shared" si="14"/>
        <v>0</v>
      </c>
      <c r="M49" s="310">
        <f t="shared" si="14"/>
        <v>0</v>
      </c>
      <c r="N49" s="310">
        <f t="shared" si="14"/>
        <v>0</v>
      </c>
      <c r="O49" s="311">
        <f t="shared" si="14"/>
        <v>0</v>
      </c>
      <c r="P49" s="3"/>
    </row>
    <row r="50" ht="15" thickTop="1"/>
  </sheetData>
  <mergeCells count="12">
    <mergeCell ref="A8:A9"/>
    <mergeCell ref="A6:A7"/>
    <mergeCell ref="B6:B9"/>
    <mergeCell ref="C6:C9"/>
    <mergeCell ref="A21:A22"/>
    <mergeCell ref="B21:B24"/>
    <mergeCell ref="C21:C24"/>
    <mergeCell ref="A23:A24"/>
    <mergeCell ref="A36:A37"/>
    <mergeCell ref="B36:B39"/>
    <mergeCell ref="C36:C39"/>
    <mergeCell ref="A38:A3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showZeros="0" workbookViewId="0" topLeftCell="A1">
      <selection activeCell="G17" sqref="G17"/>
    </sheetView>
  </sheetViews>
  <sheetFormatPr defaultColWidth="9.00390625" defaultRowHeight="14.25"/>
  <cols>
    <col min="1" max="1" width="28.75390625" style="712" customWidth="1"/>
    <col min="2" max="4" width="17.375" style="712" customWidth="1"/>
    <col min="5" max="6" width="9.00390625" style="712" customWidth="1"/>
    <col min="7" max="7" width="11.50390625" style="712" customWidth="1"/>
    <col min="8" max="16384" width="9.00390625" style="712" customWidth="1"/>
  </cols>
  <sheetData>
    <row r="1" spans="1:5" ht="23.25" thickBot="1">
      <c r="A1" s="711" t="s">
        <v>390</v>
      </c>
      <c r="B1" s="711"/>
      <c r="C1" s="711"/>
      <c r="D1" s="711"/>
      <c r="E1" s="566">
        <v>2</v>
      </c>
    </row>
    <row r="2" spans="1:7" ht="14.25">
      <c r="A2" s="713"/>
      <c r="B2" s="568"/>
      <c r="C2" s="568"/>
      <c r="D2" s="568"/>
      <c r="F2" s="984">
        <f ca="1">NOW()</f>
        <v>38825.56742395833</v>
      </c>
      <c r="G2" s="984"/>
    </row>
    <row r="3" spans="1:7" ht="14.25">
      <c r="A3" s="697">
        <f>HLOOKUP($E$1,'开发成本明细表'!D5:O52,2)</f>
        <v>38750</v>
      </c>
      <c r="B3" s="716"/>
      <c r="C3" s="697"/>
      <c r="D3" s="716"/>
      <c r="F3" s="985" t="str">
        <f>CHOOSE(WEEKDAY(F2,2),"星期一","星期二","星期三","星期四","星期五","星期六","星期日")</f>
        <v>星期二</v>
      </c>
      <c r="G3" s="985"/>
    </row>
    <row r="4" spans="1:4" ht="15">
      <c r="A4" s="717"/>
      <c r="B4" s="718"/>
      <c r="C4" s="718"/>
      <c r="D4" s="719"/>
    </row>
    <row r="5" spans="1:4" ht="15">
      <c r="A5" s="720" t="s">
        <v>1044</v>
      </c>
      <c r="B5" s="721"/>
      <c r="C5" s="721"/>
      <c r="D5" s="719" t="s">
        <v>515</v>
      </c>
    </row>
    <row r="6" spans="1:4" ht="4.5" customHeight="1" thickBot="1">
      <c r="A6" s="717"/>
      <c r="B6" s="717"/>
      <c r="C6" s="717"/>
      <c r="D6" s="722"/>
    </row>
    <row r="7" spans="1:4" ht="28.5" customHeight="1">
      <c r="A7" s="723" t="s">
        <v>516</v>
      </c>
      <c r="B7" s="724" t="s">
        <v>517</v>
      </c>
      <c r="C7" s="725" t="s">
        <v>518</v>
      </c>
      <c r="D7" s="726" t="s">
        <v>519</v>
      </c>
    </row>
    <row r="8" spans="1:4" ht="5.25" customHeight="1">
      <c r="A8" s="727"/>
      <c r="B8" s="727"/>
      <c r="C8" s="727"/>
      <c r="D8" s="727"/>
    </row>
    <row r="9" spans="1:4" ht="18" customHeight="1">
      <c r="A9" s="900" t="s">
        <v>371</v>
      </c>
      <c r="B9" s="728">
        <f>HLOOKUP($E$1,'开发成本明细表'!$D$5:$O$52,6)</f>
        <v>0</v>
      </c>
      <c r="C9" s="729">
        <f>HLOOKUP($E$1,'开发成本明细表'!$D$5:$O$52,21)</f>
        <v>0</v>
      </c>
      <c r="D9" s="730">
        <f>HLOOKUP($E$1,'开发成本明细表'!$D$5:$O$52,36)</f>
        <v>0</v>
      </c>
    </row>
    <row r="10" spans="1:4" ht="18" customHeight="1">
      <c r="A10" s="901" t="s">
        <v>372</v>
      </c>
      <c r="B10" s="731">
        <f>HLOOKUP($E$1,'开发成本明细表'!$D$5:$O$52,7)</f>
        <v>0</v>
      </c>
      <c r="C10" s="732">
        <f>HLOOKUP($E$1,'开发成本明细表'!$D$5:$O$52,22)</f>
        <v>400</v>
      </c>
      <c r="D10" s="733">
        <f>HLOOKUP($E$1,'开发成本明细表'!$D$5:$O$52,37)</f>
        <v>0</v>
      </c>
    </row>
    <row r="11" spans="1:4" ht="18" customHeight="1">
      <c r="A11" s="901" t="s">
        <v>373</v>
      </c>
      <c r="B11" s="731">
        <f>HLOOKUP($E$1,'开发成本明细表'!$D$5:$O$52,8)</f>
        <v>0</v>
      </c>
      <c r="C11" s="732">
        <f>HLOOKUP($E$1,'开发成本明细表'!$D$5:$O$52,23)</f>
        <v>0</v>
      </c>
      <c r="D11" s="733">
        <f>HLOOKUP($E$1,'开发成本明细表'!$D$5:$O$52,38)</f>
        <v>0</v>
      </c>
    </row>
    <row r="12" spans="1:4" ht="18" customHeight="1">
      <c r="A12" s="901" t="s">
        <v>374</v>
      </c>
      <c r="B12" s="731">
        <f>HLOOKUP($E$1,'开发成本明细表'!$D$5:$O$52,9)</f>
        <v>0</v>
      </c>
      <c r="C12" s="732">
        <f>HLOOKUP($E$1,'开发成本明细表'!$D$5:$O$52,24)</f>
        <v>0</v>
      </c>
      <c r="D12" s="733">
        <f>HLOOKUP($E$1,'开发成本明细表'!$D$5:$O$52,39)</f>
        <v>0</v>
      </c>
    </row>
    <row r="13" spans="1:4" ht="18" customHeight="1">
      <c r="A13" s="901" t="s">
        <v>375</v>
      </c>
      <c r="B13" s="731">
        <f>HLOOKUP($E$1,'开发成本明细表'!$D$5:$O$52,10)</f>
        <v>0</v>
      </c>
      <c r="C13" s="732">
        <f>HLOOKUP($E$1,'开发成本明细表'!$D$5:$O$52,25)</f>
        <v>0</v>
      </c>
      <c r="D13" s="733">
        <f>HLOOKUP($E$1,'开发成本明细表'!$D$5:$O$52,40)</f>
        <v>0</v>
      </c>
    </row>
    <row r="14" spans="1:4" ht="18" customHeight="1">
      <c r="A14" s="901" t="s">
        <v>376</v>
      </c>
      <c r="B14" s="731">
        <f>HLOOKUP($E$1,'开发成本明细表'!$D$5:$O$52,11)</f>
        <v>0</v>
      </c>
      <c r="C14" s="732">
        <f>HLOOKUP($E$1,'开发成本明细表'!$D$5:$O$52,26)</f>
        <v>0</v>
      </c>
      <c r="D14" s="733">
        <f>HLOOKUP($E$1,'开发成本明细表'!$D$5:$O$52,41)</f>
        <v>0</v>
      </c>
    </row>
    <row r="15" spans="1:4" ht="18" customHeight="1">
      <c r="A15" s="901" t="s">
        <v>377</v>
      </c>
      <c r="B15" s="731">
        <f>HLOOKUP($E$1,'开发成本明细表'!$D$5:$O$52,12)</f>
        <v>0</v>
      </c>
      <c r="C15" s="732">
        <f>HLOOKUP($E$1,'开发成本明细表'!$D$5:$O$52,27)</f>
        <v>0</v>
      </c>
      <c r="D15" s="733">
        <f>HLOOKUP($E$1,'开发成本明细表'!$D$5:$O$52,42)</f>
        <v>0</v>
      </c>
    </row>
    <row r="16" spans="1:4" ht="18" customHeight="1">
      <c r="A16" s="901"/>
      <c r="B16" s="734">
        <f>HLOOKUP($E$1,'开发成本明细表'!$D$5:$O$52,13)</f>
        <v>0</v>
      </c>
      <c r="C16" s="735">
        <f>HLOOKUP($E$1,'开发成本明细表'!$D$5:$O$52,28)</f>
        <v>0</v>
      </c>
      <c r="D16" s="733">
        <f>HLOOKUP($E$1,'开发成本明细表'!$D$5:$O$52,43)</f>
        <v>0</v>
      </c>
    </row>
    <row r="17" spans="1:4" ht="18" customHeight="1">
      <c r="A17" s="901"/>
      <c r="B17" s="731"/>
      <c r="C17" s="732"/>
      <c r="D17" s="733"/>
    </row>
    <row r="18" spans="1:4" ht="18" customHeight="1" thickBot="1">
      <c r="A18" s="902" t="s">
        <v>525</v>
      </c>
      <c r="B18" s="736">
        <f>HLOOKUP($E$1,'开发成本明细表'!D5:O49,15)</f>
        <v>0</v>
      </c>
      <c r="C18" s="737">
        <f>HLOOKUP($E$1,'开发成本明细表'!E5:P49,30)</f>
        <v>400</v>
      </c>
      <c r="D18" s="738" t="e">
        <f>HLOOKUP($E$1,'开发成本明细表'!F5:P49,45)</f>
        <v>#N/A</v>
      </c>
    </row>
    <row r="19" spans="1:4" ht="14.25">
      <c r="A19" s="714"/>
      <c r="B19" s="714"/>
      <c r="C19" s="714"/>
      <c r="D19" s="714"/>
    </row>
    <row r="20" spans="1:4" ht="14.25">
      <c r="A20" s="714"/>
      <c r="B20" s="715"/>
      <c r="C20" s="714"/>
      <c r="D20" s="714"/>
    </row>
    <row r="21" spans="1:4" ht="14.25">
      <c r="A21" s="714"/>
      <c r="B21" s="714"/>
      <c r="C21" s="714"/>
      <c r="D21" s="709"/>
    </row>
    <row r="22" spans="1:4" ht="14.25">
      <c r="A22" s="714"/>
      <c r="B22" s="714"/>
      <c r="C22" s="714"/>
      <c r="D22" s="714"/>
    </row>
    <row r="23" spans="1:4" ht="14.25">
      <c r="A23" s="714"/>
      <c r="B23" s="714"/>
      <c r="C23" s="714"/>
      <c r="D23" s="714"/>
    </row>
    <row r="24" spans="1:4" ht="14.25">
      <c r="A24" s="714"/>
      <c r="B24" s="714"/>
      <c r="C24" s="714"/>
      <c r="D24" s="714"/>
    </row>
    <row r="25" spans="1:4" ht="14.25">
      <c r="A25" s="714"/>
      <c r="B25" s="714"/>
      <c r="C25" s="714"/>
      <c r="D25" s="714"/>
    </row>
    <row r="26" spans="1:4" ht="14.25">
      <c r="A26" s="714"/>
      <c r="B26" s="714"/>
      <c r="C26" s="714"/>
      <c r="D26" s="714"/>
    </row>
    <row r="27" spans="1:4" ht="14.25">
      <c r="A27" s="714"/>
      <c r="B27" s="714"/>
      <c r="C27" s="714"/>
      <c r="D27" s="714"/>
    </row>
    <row r="28" spans="1:4" ht="14.25">
      <c r="A28" s="714"/>
      <c r="B28" s="714"/>
      <c r="C28" s="714"/>
      <c r="D28" s="714"/>
    </row>
    <row r="29" spans="1:4" ht="14.25">
      <c r="A29" s="714"/>
      <c r="B29" s="714"/>
      <c r="C29" s="714"/>
      <c r="D29" s="714"/>
    </row>
    <row r="30" spans="1:4" ht="14.25">
      <c r="A30" s="714"/>
      <c r="B30" s="714"/>
      <c r="C30" s="714"/>
      <c r="D30" s="714"/>
    </row>
    <row r="31" spans="1:4" ht="14.25">
      <c r="A31" s="714"/>
      <c r="B31" s="714"/>
      <c r="C31" s="714"/>
      <c r="D31" s="714"/>
    </row>
    <row r="32" spans="1:4" ht="14.25">
      <c r="A32" s="714"/>
      <c r="B32" s="714"/>
      <c r="C32" s="714"/>
      <c r="D32" s="714"/>
    </row>
    <row r="33" spans="1:4" ht="14.25">
      <c r="A33" s="714"/>
      <c r="B33" s="714"/>
      <c r="C33" s="714"/>
      <c r="D33" s="714"/>
    </row>
    <row r="34" spans="1:4" ht="14.25">
      <c r="A34" s="714"/>
      <c r="B34" s="714"/>
      <c r="C34" s="714"/>
      <c r="D34" s="714"/>
    </row>
    <row r="35" spans="1:4" ht="14.25">
      <c r="A35" s="714"/>
      <c r="B35" s="714"/>
      <c r="C35" s="714"/>
      <c r="D35" s="714"/>
    </row>
    <row r="36" spans="1:4" ht="14.25">
      <c r="A36" s="714"/>
      <c r="B36" s="714"/>
      <c r="C36" s="714"/>
      <c r="D36" s="714"/>
    </row>
    <row r="37" spans="1:4" ht="14.25">
      <c r="A37" s="714"/>
      <c r="B37" s="714"/>
      <c r="C37" s="714"/>
      <c r="D37" s="714"/>
    </row>
    <row r="38" spans="1:4" ht="14.25">
      <c r="A38" s="714"/>
      <c r="B38" s="714"/>
      <c r="C38" s="714"/>
      <c r="D38" s="714"/>
    </row>
    <row r="39" spans="1:4" ht="14.25">
      <c r="A39" s="714"/>
      <c r="B39" s="714"/>
      <c r="C39" s="714"/>
      <c r="D39" s="714"/>
    </row>
    <row r="40" spans="1:4" ht="14.25">
      <c r="A40" s="714"/>
      <c r="B40" s="714"/>
      <c r="C40" s="714"/>
      <c r="D40" s="714"/>
    </row>
    <row r="41" spans="1:4" ht="14.25">
      <c r="A41" s="714"/>
      <c r="B41" s="714"/>
      <c r="C41" s="714"/>
      <c r="D41" s="714"/>
    </row>
    <row r="42" spans="1:4" ht="14.25">
      <c r="A42" s="714"/>
      <c r="B42" s="714"/>
      <c r="C42" s="714"/>
      <c r="D42" s="714"/>
    </row>
    <row r="43" spans="1:4" ht="14.25">
      <c r="A43" s="714"/>
      <c r="B43" s="714"/>
      <c r="C43" s="714"/>
      <c r="D43" s="714"/>
    </row>
    <row r="44" spans="1:4" ht="14.25">
      <c r="A44" s="714"/>
      <c r="B44" s="714"/>
      <c r="C44" s="714"/>
      <c r="D44" s="714"/>
    </row>
    <row r="45" spans="1:4" ht="14.25">
      <c r="A45" s="714"/>
      <c r="B45" s="714"/>
      <c r="C45" s="714"/>
      <c r="D45" s="714"/>
    </row>
    <row r="46" spans="1:4" ht="14.25">
      <c r="A46" s="714"/>
      <c r="B46" s="714"/>
      <c r="C46" s="714"/>
      <c r="D46" s="714"/>
    </row>
    <row r="47" spans="1:4" ht="14.25">
      <c r="A47" s="714"/>
      <c r="B47" s="714"/>
      <c r="C47" s="714"/>
      <c r="D47" s="714"/>
    </row>
    <row r="48" spans="1:4" ht="14.25">
      <c r="A48" s="714"/>
      <c r="B48" s="714"/>
      <c r="C48" s="714"/>
      <c r="D48" s="714"/>
    </row>
    <row r="49" spans="1:4" ht="14.25">
      <c r="A49" s="714"/>
      <c r="B49" s="714"/>
      <c r="C49" s="714"/>
      <c r="D49" s="714"/>
    </row>
    <row r="50" spans="1:4" ht="14.25">
      <c r="A50" s="714"/>
      <c r="B50" s="714"/>
      <c r="C50" s="714"/>
      <c r="D50" s="714"/>
    </row>
    <row r="51" spans="1:4" ht="14.25">
      <c r="A51" s="714"/>
      <c r="B51" s="714"/>
      <c r="C51" s="714"/>
      <c r="D51" s="714"/>
    </row>
    <row r="52" spans="1:4" ht="14.25">
      <c r="A52" s="714"/>
      <c r="B52" s="714"/>
      <c r="C52" s="714"/>
      <c r="D52" s="714"/>
    </row>
    <row r="53" spans="1:4" ht="14.25">
      <c r="A53" s="714"/>
      <c r="B53" s="714"/>
      <c r="C53" s="714"/>
      <c r="D53" s="714"/>
    </row>
    <row r="54" spans="1:4" ht="14.25">
      <c r="A54" s="714"/>
      <c r="B54" s="714"/>
      <c r="C54" s="714"/>
      <c r="D54" s="714"/>
    </row>
    <row r="55" spans="1:4" ht="14.25">
      <c r="A55" s="714"/>
      <c r="B55" s="714"/>
      <c r="C55" s="714"/>
      <c r="D55" s="714"/>
    </row>
    <row r="56" spans="1:4" ht="14.25">
      <c r="A56" s="714"/>
      <c r="B56" s="714"/>
      <c r="C56" s="714"/>
      <c r="D56" s="714"/>
    </row>
  </sheetData>
  <sheetProtection/>
  <mergeCells count="2">
    <mergeCell ref="F2:G2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5"/>
  <dimension ref="A1:W106"/>
  <sheetViews>
    <sheetView workbookViewId="0" topLeftCell="A5">
      <pane xSplit="3" ySplit="5" topLeftCell="D10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Z17" sqref="Z17"/>
    </sheetView>
  </sheetViews>
  <sheetFormatPr defaultColWidth="9.00390625" defaultRowHeight="14.25"/>
  <cols>
    <col min="1" max="1" width="7.125" style="0" customWidth="1"/>
    <col min="2" max="2" width="13.00390625" style="0" customWidth="1"/>
    <col min="3" max="3" width="3.50390625" style="0" customWidth="1"/>
    <col min="4" max="19" width="11.50390625" style="0" customWidth="1"/>
    <col min="20" max="20" width="13.125" style="0" customWidth="1"/>
    <col min="21" max="21" width="12.50390625" style="0" customWidth="1"/>
    <col min="22" max="22" width="11.50390625" style="0" customWidth="1"/>
    <col min="23" max="23" width="4.00390625" style="0" customWidth="1"/>
    <col min="24" max="24" width="12.125" style="0" customWidth="1"/>
    <col min="25" max="25" width="1.4921875" style="0" customWidth="1"/>
    <col min="26" max="26" width="11.50390625" style="0" customWidth="1"/>
    <col min="27" max="27" width="12.125" style="0" customWidth="1"/>
    <col min="28" max="28" width="1.4921875" style="0" customWidth="1"/>
    <col min="29" max="29" width="11.50390625" style="0" customWidth="1"/>
    <col min="30" max="30" width="12.125" style="0" customWidth="1"/>
    <col min="31" max="31" width="1.4921875" style="0" customWidth="1"/>
    <col min="32" max="32" width="11.50390625" style="0" customWidth="1"/>
    <col min="33" max="33" width="12.125" style="0" customWidth="1"/>
    <col min="34" max="34" width="1.4921875" style="0" customWidth="1"/>
    <col min="35" max="35" width="13.00390625" style="0" customWidth="1"/>
    <col min="36" max="36" width="12.125" style="0" customWidth="1"/>
    <col min="37" max="37" width="1.4921875" style="0" customWidth="1"/>
    <col min="38" max="38" width="13.00390625" style="0" customWidth="1"/>
    <col min="39" max="39" width="12.125" style="0" customWidth="1"/>
    <col min="40" max="40" width="1.4921875" style="0" customWidth="1"/>
    <col min="41" max="41" width="11.50390625" style="0" customWidth="1"/>
  </cols>
  <sheetData>
    <row r="1" spans="1:23" ht="14.25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0.25" hidden="1">
      <c r="A2" s="3"/>
      <c r="B2" s="3"/>
      <c r="C2" s="247" t="s">
        <v>1009</v>
      </c>
      <c r="D2" s="83"/>
      <c r="E2" s="8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hidden="1">
      <c r="A3" s="3"/>
      <c r="B3" s="3"/>
      <c r="C3" s="248" t="s">
        <v>1010</v>
      </c>
      <c r="D3" s="83"/>
      <c r="E3" s="8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4.25" hidden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49"/>
      <c r="W4" s="3"/>
    </row>
    <row r="5" spans="1:23" s="14" customFormat="1" ht="16.5" thickBot="1">
      <c r="A5" s="15"/>
      <c r="B5" s="15"/>
      <c r="C5" s="15"/>
      <c r="D5" s="250">
        <v>1</v>
      </c>
      <c r="E5" s="251">
        <v>2</v>
      </c>
      <c r="F5" s="250">
        <v>3</v>
      </c>
      <c r="G5" s="186" t="s">
        <v>1011</v>
      </c>
      <c r="H5" s="250">
        <v>4</v>
      </c>
      <c r="I5" s="252">
        <v>5</v>
      </c>
      <c r="J5" s="252">
        <v>6</v>
      </c>
      <c r="K5" s="186" t="s">
        <v>1012</v>
      </c>
      <c r="L5" s="186" t="s">
        <v>13</v>
      </c>
      <c r="M5" s="253">
        <v>7</v>
      </c>
      <c r="N5" s="16">
        <v>8</v>
      </c>
      <c r="O5" s="16">
        <v>9</v>
      </c>
      <c r="P5" s="313" t="s">
        <v>14</v>
      </c>
      <c r="Q5" s="16">
        <v>10</v>
      </c>
      <c r="R5" s="16">
        <v>11</v>
      </c>
      <c r="S5" s="16">
        <v>12</v>
      </c>
      <c r="T5" s="313" t="s">
        <v>15</v>
      </c>
      <c r="U5" s="313" t="s">
        <v>16</v>
      </c>
      <c r="V5" s="16"/>
      <c r="W5" s="15"/>
    </row>
    <row r="6" spans="1:23" ht="15" thickTop="1">
      <c r="A6" s="973" t="s">
        <v>989</v>
      </c>
      <c r="B6" s="983" t="s">
        <v>990</v>
      </c>
      <c r="C6" s="978"/>
      <c r="D6" s="255">
        <v>38718</v>
      </c>
      <c r="E6" s="256">
        <v>38750</v>
      </c>
      <c r="F6" s="256">
        <v>38779</v>
      </c>
      <c r="G6" s="314" t="s">
        <v>421</v>
      </c>
      <c r="H6" s="315">
        <v>38811</v>
      </c>
      <c r="I6" s="256">
        <v>38842</v>
      </c>
      <c r="J6" s="256">
        <v>38874</v>
      </c>
      <c r="K6" s="314" t="s">
        <v>426</v>
      </c>
      <c r="L6" s="314" t="s">
        <v>423</v>
      </c>
      <c r="M6" s="256">
        <v>38905</v>
      </c>
      <c r="N6" s="256">
        <v>38937</v>
      </c>
      <c r="O6" s="256">
        <v>38969</v>
      </c>
      <c r="P6" s="316" t="s">
        <v>427</v>
      </c>
      <c r="Q6" s="256">
        <v>39000</v>
      </c>
      <c r="R6" s="256">
        <v>39032</v>
      </c>
      <c r="S6" s="317">
        <v>39063</v>
      </c>
      <c r="T6" s="316" t="s">
        <v>428</v>
      </c>
      <c r="U6" s="318" t="s">
        <v>429</v>
      </c>
      <c r="V6" s="319"/>
      <c r="W6" s="3"/>
    </row>
    <row r="7" spans="1:23" ht="15.75" thickBot="1">
      <c r="A7" s="974"/>
      <c r="B7" s="933"/>
      <c r="C7" s="979"/>
      <c r="D7" s="259" t="s">
        <v>763</v>
      </c>
      <c r="E7" s="260" t="s">
        <v>764</v>
      </c>
      <c r="F7" s="261" t="s">
        <v>765</v>
      </c>
      <c r="G7" s="320" t="s">
        <v>1013</v>
      </c>
      <c r="H7" s="261" t="s">
        <v>766</v>
      </c>
      <c r="I7" s="260" t="s">
        <v>767</v>
      </c>
      <c r="J7" s="260" t="s">
        <v>1014</v>
      </c>
      <c r="K7" s="320" t="s">
        <v>1015</v>
      </c>
      <c r="L7" s="320" t="s">
        <v>17</v>
      </c>
      <c r="M7" s="260" t="s">
        <v>769</v>
      </c>
      <c r="N7" s="260" t="s">
        <v>770</v>
      </c>
      <c r="O7" s="260" t="s">
        <v>771</v>
      </c>
      <c r="P7" s="321" t="s">
        <v>18</v>
      </c>
      <c r="Q7" s="260" t="s">
        <v>772</v>
      </c>
      <c r="R7" s="260" t="s">
        <v>773</v>
      </c>
      <c r="S7" s="322" t="s">
        <v>774</v>
      </c>
      <c r="T7" s="321" t="s">
        <v>19</v>
      </c>
      <c r="U7" s="323" t="s">
        <v>20</v>
      </c>
      <c r="V7" s="324"/>
      <c r="W7" s="3"/>
    </row>
    <row r="8" spans="1:23" ht="15.75">
      <c r="A8" s="981" t="s">
        <v>991</v>
      </c>
      <c r="B8" s="933"/>
      <c r="C8" s="979"/>
      <c r="D8" s="263" t="s">
        <v>992</v>
      </c>
      <c r="E8" s="264" t="s">
        <v>992</v>
      </c>
      <c r="F8" s="325" t="s">
        <v>992</v>
      </c>
      <c r="G8" s="326" t="s">
        <v>1016</v>
      </c>
      <c r="H8" s="327" t="s">
        <v>992</v>
      </c>
      <c r="I8" s="264" t="s">
        <v>992</v>
      </c>
      <c r="J8" s="264" t="s">
        <v>992</v>
      </c>
      <c r="K8" s="326" t="s">
        <v>1016</v>
      </c>
      <c r="L8" s="326" t="s">
        <v>21</v>
      </c>
      <c r="M8" s="264" t="s">
        <v>992</v>
      </c>
      <c r="N8" s="264" t="s">
        <v>992</v>
      </c>
      <c r="O8" s="264" t="s">
        <v>992</v>
      </c>
      <c r="P8" s="326" t="s">
        <v>22</v>
      </c>
      <c r="Q8" s="264" t="s">
        <v>992</v>
      </c>
      <c r="R8" s="264" t="s">
        <v>992</v>
      </c>
      <c r="S8" s="325" t="s">
        <v>992</v>
      </c>
      <c r="T8" s="326" t="s">
        <v>22</v>
      </c>
      <c r="U8" s="328" t="s">
        <v>23</v>
      </c>
      <c r="V8" s="329"/>
      <c r="W8" s="3"/>
    </row>
    <row r="9" spans="1:23" ht="15" customHeight="1" thickBot="1">
      <c r="A9" s="982"/>
      <c r="B9" s="910"/>
      <c r="C9" s="980"/>
      <c r="D9" s="267" t="s">
        <v>993</v>
      </c>
      <c r="E9" s="268" t="s">
        <v>993</v>
      </c>
      <c r="F9" s="330" t="s">
        <v>993</v>
      </c>
      <c r="G9" s="334" t="s">
        <v>12</v>
      </c>
      <c r="H9" s="332" t="s">
        <v>993</v>
      </c>
      <c r="I9" s="268" t="s">
        <v>993</v>
      </c>
      <c r="J9" s="268" t="s">
        <v>993</v>
      </c>
      <c r="K9" s="331" t="s">
        <v>12</v>
      </c>
      <c r="L9" s="333" t="s">
        <v>12</v>
      </c>
      <c r="M9" s="268" t="s">
        <v>993</v>
      </c>
      <c r="N9" s="268" t="s">
        <v>993</v>
      </c>
      <c r="O9" s="268" t="s">
        <v>993</v>
      </c>
      <c r="P9" s="334" t="s">
        <v>12</v>
      </c>
      <c r="Q9" s="268" t="s">
        <v>993</v>
      </c>
      <c r="R9" s="268" t="s">
        <v>993</v>
      </c>
      <c r="S9" s="330" t="s">
        <v>993</v>
      </c>
      <c r="T9" s="334" t="s">
        <v>12</v>
      </c>
      <c r="U9" s="335" t="s">
        <v>12</v>
      </c>
      <c r="V9" s="336"/>
      <c r="W9" s="3"/>
    </row>
    <row r="10" spans="1:23" ht="15" thickTop="1">
      <c r="A10" s="270">
        <v>1</v>
      </c>
      <c r="B10" s="271" t="s">
        <v>379</v>
      </c>
      <c r="C10" s="272"/>
      <c r="D10" s="273">
        <f>'记账凭证汇总'!E127-'记账凭证汇总'!F127</f>
        <v>0</v>
      </c>
      <c r="E10" s="274">
        <f>'记账凭证汇总'!I127-'记账凭证汇总'!J127</f>
        <v>0</v>
      </c>
      <c r="F10" s="274">
        <f>'记账凭证汇总'!M127-'记账凭证汇总'!N127</f>
        <v>0</v>
      </c>
      <c r="G10" s="412">
        <f>D10+E10+F10</f>
        <v>0</v>
      </c>
      <c r="H10" s="274">
        <f>'记账凭证汇总'!Q127-'记账凭证汇总'!R127</f>
        <v>0</v>
      </c>
      <c r="I10" s="275">
        <f>'记账凭证汇总'!U127-'记账凭证汇总'!V127</f>
        <v>0</v>
      </c>
      <c r="J10" s="275">
        <f>'记账凭证汇总'!Y127-'记账凭证汇总'!Z127</f>
        <v>0</v>
      </c>
      <c r="K10" s="337">
        <f>H10+I10+J10</f>
        <v>0</v>
      </c>
      <c r="L10" s="337">
        <f>G10+K10</f>
        <v>0</v>
      </c>
      <c r="M10" s="275">
        <f>'记账凭证汇总'!AC127-'记账凭证汇总'!AD127</f>
        <v>0</v>
      </c>
      <c r="N10" s="275">
        <f>'记账凭证汇总'!AG127-'记账凭证汇总'!AH127</f>
        <v>0</v>
      </c>
      <c r="O10" s="275">
        <f>'记账凭证汇总'!AK127-'记账凭证汇总'!AL127</f>
        <v>0</v>
      </c>
      <c r="P10" s="337">
        <f>M10+N10+O10</f>
        <v>0</v>
      </c>
      <c r="Q10" s="275">
        <f>'记账凭证汇总'!AO127-'记账凭证汇总'!AP127</f>
        <v>0</v>
      </c>
      <c r="R10" s="275">
        <f>'记账凭证汇总'!AS127-'记账凭证汇总'!AT127</f>
        <v>0</v>
      </c>
      <c r="S10" s="275">
        <f>'记账凭证汇总'!AW127-'记账凭证汇总'!AX127</f>
        <v>0</v>
      </c>
      <c r="T10" s="337">
        <f>Q10+R10+S10</f>
        <v>0</v>
      </c>
      <c r="U10" s="338">
        <f>P10+T10</f>
        <v>0</v>
      </c>
      <c r="V10" s="339"/>
      <c r="W10" s="3"/>
    </row>
    <row r="11" spans="1:23" ht="14.25">
      <c r="A11" s="277">
        <v>2</v>
      </c>
      <c r="B11" s="278" t="s">
        <v>380</v>
      </c>
      <c r="C11" s="71"/>
      <c r="D11" s="273">
        <f>'记账凭证汇总'!E128-'记账凭证汇总'!F128</f>
        <v>600</v>
      </c>
      <c r="E11" s="279">
        <f>'记账凭证汇总'!I128-'记账凭证汇总'!J128</f>
        <v>0</v>
      </c>
      <c r="F11" s="279">
        <f>'记账凭证汇总'!M128-'记账凭证汇总'!N128</f>
        <v>0</v>
      </c>
      <c r="G11" s="340">
        <f aca="true" t="shared" si="0" ref="G11:G33">D11+E11+F11</f>
        <v>600</v>
      </c>
      <c r="H11" s="279">
        <f>'记账凭证汇总'!Q128-'记账凭证汇总'!R128</f>
        <v>0</v>
      </c>
      <c r="I11" s="163">
        <f>'记账凭证汇总'!U128-'记账凭证汇总'!V128</f>
        <v>0</v>
      </c>
      <c r="J11" s="163">
        <f>'记账凭证汇总'!Y128-'记账凭证汇总'!Z128</f>
        <v>0</v>
      </c>
      <c r="K11" s="341">
        <f aca="true" t="shared" si="1" ref="K11:K33">H11+I11+J11</f>
        <v>0</v>
      </c>
      <c r="L11" s="341">
        <f aca="true" t="shared" si="2" ref="L11:L33">G11+K11</f>
        <v>600</v>
      </c>
      <c r="M11" s="163">
        <f>'记账凭证汇总'!AC128-'记账凭证汇总'!AD128</f>
        <v>0</v>
      </c>
      <c r="N11" s="163">
        <f>'记账凭证汇总'!AG128-'记账凭证汇总'!AH128</f>
        <v>0</v>
      </c>
      <c r="O11" s="163">
        <f>'记账凭证汇总'!AK128-'记账凭证汇总'!AL128</f>
        <v>0</v>
      </c>
      <c r="P11" s="341">
        <f aca="true" t="shared" si="3" ref="P11:P33">M11+N11+O11</f>
        <v>0</v>
      </c>
      <c r="Q11" s="163">
        <f>'记账凭证汇总'!AO128-'记账凭证汇总'!AP128</f>
        <v>0</v>
      </c>
      <c r="R11" s="163">
        <f>'记账凭证汇总'!AS128-'记账凭证汇总'!AT128</f>
        <v>0</v>
      </c>
      <c r="S11" s="163">
        <f>'记账凭证汇总'!AW128-'记账凭证汇总'!AX128</f>
        <v>0</v>
      </c>
      <c r="T11" s="341">
        <f aca="true" t="shared" si="4" ref="T11:T33">Q11+R11+S11</f>
        <v>0</v>
      </c>
      <c r="U11" s="342">
        <f aca="true" t="shared" si="5" ref="U11:U33">P11+T11</f>
        <v>0</v>
      </c>
      <c r="V11" s="339"/>
      <c r="W11" s="3"/>
    </row>
    <row r="12" spans="1:23" ht="15">
      <c r="A12" s="277">
        <v>3</v>
      </c>
      <c r="B12" s="278" t="s">
        <v>26</v>
      </c>
      <c r="C12" s="54"/>
      <c r="D12" s="273">
        <f>'记账凭证汇总'!E129-'记账凭证汇总'!F129</f>
        <v>0</v>
      </c>
      <c r="E12" s="279">
        <f>'记账凭证汇总'!I129-'记账凭证汇总'!J129</f>
        <v>0</v>
      </c>
      <c r="F12" s="279">
        <f>'记账凭证汇总'!M129-'记账凭证汇总'!N129</f>
        <v>0</v>
      </c>
      <c r="G12" s="340">
        <f t="shared" si="0"/>
        <v>0</v>
      </c>
      <c r="H12" s="279">
        <f>'记账凭证汇总'!Q129-'记账凭证汇总'!R129</f>
        <v>0</v>
      </c>
      <c r="I12" s="163">
        <f>'记账凭证汇总'!U129-'记账凭证汇总'!V129</f>
        <v>0</v>
      </c>
      <c r="J12" s="163">
        <f>'记账凭证汇总'!Y129-'记账凭证汇总'!Z129</f>
        <v>0</v>
      </c>
      <c r="K12" s="341">
        <f t="shared" si="1"/>
        <v>0</v>
      </c>
      <c r="L12" s="341">
        <f t="shared" si="2"/>
        <v>0</v>
      </c>
      <c r="M12" s="163">
        <f>'记账凭证汇总'!AC129-'记账凭证汇总'!AD129</f>
        <v>0</v>
      </c>
      <c r="N12" s="163">
        <f>'记账凭证汇总'!AG129-'记账凭证汇总'!AH129</f>
        <v>0</v>
      </c>
      <c r="O12" s="163">
        <f>'记账凭证汇总'!AK129-'记账凭证汇总'!AL129</f>
        <v>0</v>
      </c>
      <c r="P12" s="341">
        <f t="shared" si="3"/>
        <v>0</v>
      </c>
      <c r="Q12" s="163">
        <f>'记账凭证汇总'!AO129-'记账凭证汇总'!AP129</f>
        <v>0</v>
      </c>
      <c r="R12" s="163">
        <f>'记账凭证汇总'!AS129-'记账凭证汇总'!AT129</f>
        <v>0</v>
      </c>
      <c r="S12" s="163">
        <f>'记账凭证汇总'!AW129-'记账凭证汇总'!AX129</f>
        <v>0</v>
      </c>
      <c r="T12" s="341">
        <f t="shared" si="4"/>
        <v>0</v>
      </c>
      <c r="U12" s="342">
        <f t="shared" si="5"/>
        <v>0</v>
      </c>
      <c r="V12" s="339"/>
      <c r="W12" s="3"/>
    </row>
    <row r="13" spans="1:23" ht="15">
      <c r="A13" s="277">
        <v>4</v>
      </c>
      <c r="B13" s="278" t="s">
        <v>381</v>
      </c>
      <c r="C13" s="54"/>
      <c r="D13" s="273">
        <f>'记账凭证汇总'!E130-'记账凭证汇总'!F130</f>
        <v>0</v>
      </c>
      <c r="E13" s="279">
        <f>'记账凭证汇总'!I130-'记账凭证汇总'!J130</f>
        <v>0</v>
      </c>
      <c r="F13" s="279">
        <f>'记账凭证汇总'!M130-'记账凭证汇总'!N130</f>
        <v>0</v>
      </c>
      <c r="G13" s="340">
        <f t="shared" si="0"/>
        <v>0</v>
      </c>
      <c r="H13" s="279">
        <f>'记账凭证汇总'!Q130-'记账凭证汇总'!R130</f>
        <v>0</v>
      </c>
      <c r="I13" s="163">
        <f>'记账凭证汇总'!U130-'记账凭证汇总'!V130</f>
        <v>0</v>
      </c>
      <c r="J13" s="163">
        <f>'记账凭证汇总'!Y130-'记账凭证汇总'!Z130</f>
        <v>0</v>
      </c>
      <c r="K13" s="341">
        <f t="shared" si="1"/>
        <v>0</v>
      </c>
      <c r="L13" s="341">
        <f t="shared" si="2"/>
        <v>0</v>
      </c>
      <c r="M13" s="163">
        <f>'记账凭证汇总'!AC130-'记账凭证汇总'!AD130</f>
        <v>0</v>
      </c>
      <c r="N13" s="163">
        <f>'记账凭证汇总'!AG130-'记账凭证汇总'!AH130</f>
        <v>0</v>
      </c>
      <c r="O13" s="163">
        <f>'记账凭证汇总'!AK130-'记账凭证汇总'!AL130</f>
        <v>0</v>
      </c>
      <c r="P13" s="341">
        <f t="shared" si="3"/>
        <v>0</v>
      </c>
      <c r="Q13" s="163">
        <f>'记账凭证汇总'!AO130-'记账凭证汇总'!AP130</f>
        <v>0</v>
      </c>
      <c r="R13" s="163">
        <f>'记账凭证汇总'!AS130-'记账凭证汇总'!AT130</f>
        <v>0</v>
      </c>
      <c r="S13" s="163">
        <f>'记账凭证汇总'!AW130-'记账凭证汇总'!AX130</f>
        <v>0</v>
      </c>
      <c r="T13" s="341">
        <f t="shared" si="4"/>
        <v>0</v>
      </c>
      <c r="U13" s="342">
        <f t="shared" si="5"/>
        <v>0</v>
      </c>
      <c r="V13" s="339"/>
      <c r="W13" s="3"/>
    </row>
    <row r="14" spans="1:23" ht="15">
      <c r="A14" s="277">
        <v>5</v>
      </c>
      <c r="B14" s="278" t="s">
        <v>382</v>
      </c>
      <c r="C14" s="54"/>
      <c r="D14" s="273">
        <f>'记账凭证汇总'!E131-'记账凭证汇总'!F131</f>
        <v>0</v>
      </c>
      <c r="E14" s="279">
        <f>'记账凭证汇总'!I131-'记账凭证汇总'!J131</f>
        <v>0</v>
      </c>
      <c r="F14" s="279">
        <f>'记账凭证汇总'!M131-'记账凭证汇总'!N131</f>
        <v>0</v>
      </c>
      <c r="G14" s="340">
        <f t="shared" si="0"/>
        <v>0</v>
      </c>
      <c r="H14" s="279">
        <f>'记账凭证汇总'!Q131-'记账凭证汇总'!R131</f>
        <v>0</v>
      </c>
      <c r="I14" s="163">
        <f>'记账凭证汇总'!U131-'记账凭证汇总'!V131</f>
        <v>0</v>
      </c>
      <c r="J14" s="163">
        <f>'记账凭证汇总'!Y131-'记账凭证汇总'!Z131</f>
        <v>0</v>
      </c>
      <c r="K14" s="341">
        <f t="shared" si="1"/>
        <v>0</v>
      </c>
      <c r="L14" s="341">
        <f t="shared" si="2"/>
        <v>0</v>
      </c>
      <c r="M14" s="163">
        <f>'记账凭证汇总'!AC131-'记账凭证汇总'!AD131</f>
        <v>0</v>
      </c>
      <c r="N14" s="163">
        <f>'记账凭证汇总'!AG131-'记账凭证汇总'!AH131</f>
        <v>0</v>
      </c>
      <c r="O14" s="163">
        <f>'记账凭证汇总'!AK131-'记账凭证汇总'!AL131</f>
        <v>0</v>
      </c>
      <c r="P14" s="341">
        <f t="shared" si="3"/>
        <v>0</v>
      </c>
      <c r="Q14" s="163">
        <f>'记账凭证汇总'!AO131-'记账凭证汇总'!AP131</f>
        <v>0</v>
      </c>
      <c r="R14" s="163">
        <f>'记账凭证汇总'!AS131-'记账凭证汇总'!AT131</f>
        <v>0</v>
      </c>
      <c r="S14" s="163">
        <f>'记账凭证汇总'!AW131-'记账凭证汇总'!AX131</f>
        <v>0</v>
      </c>
      <c r="T14" s="341">
        <f t="shared" si="4"/>
        <v>0</v>
      </c>
      <c r="U14" s="342">
        <f t="shared" si="5"/>
        <v>0</v>
      </c>
      <c r="V14" s="339"/>
      <c r="W14" s="3"/>
    </row>
    <row r="15" spans="1:23" ht="15">
      <c r="A15" s="277">
        <v>6</v>
      </c>
      <c r="B15" s="278" t="s">
        <v>513</v>
      </c>
      <c r="C15" s="54"/>
      <c r="D15" s="273">
        <f>'记账凭证汇总'!E132-'记账凭证汇总'!F132</f>
        <v>0</v>
      </c>
      <c r="E15" s="279">
        <f>'记账凭证汇总'!I132-'记账凭证汇总'!J132</f>
        <v>0</v>
      </c>
      <c r="F15" s="279">
        <f>'记账凭证汇总'!M132-'记账凭证汇总'!N132</f>
        <v>0</v>
      </c>
      <c r="G15" s="340">
        <f t="shared" si="0"/>
        <v>0</v>
      </c>
      <c r="H15" s="279">
        <f>'记账凭证汇总'!Q132-'记账凭证汇总'!R132</f>
        <v>0</v>
      </c>
      <c r="I15" s="163">
        <f>'记账凭证汇总'!U132-'记账凭证汇总'!V132</f>
        <v>0</v>
      </c>
      <c r="J15" s="163">
        <f>'记账凭证汇总'!Y132-'记账凭证汇总'!Z132</f>
        <v>0</v>
      </c>
      <c r="K15" s="341">
        <f t="shared" si="1"/>
        <v>0</v>
      </c>
      <c r="L15" s="341">
        <f t="shared" si="2"/>
        <v>0</v>
      </c>
      <c r="M15" s="163">
        <f>'记账凭证汇总'!AC132-'记账凭证汇总'!AD132</f>
        <v>0</v>
      </c>
      <c r="N15" s="163">
        <f>'记账凭证汇总'!AG132-'记账凭证汇总'!AH132</f>
        <v>0</v>
      </c>
      <c r="O15" s="163">
        <f>'记账凭证汇总'!AK132-'记账凭证汇总'!AL132</f>
        <v>0</v>
      </c>
      <c r="P15" s="341">
        <f t="shared" si="3"/>
        <v>0</v>
      </c>
      <c r="Q15" s="163">
        <f>'记账凭证汇总'!AO132-'记账凭证汇总'!AP132</f>
        <v>0</v>
      </c>
      <c r="R15" s="163">
        <f>'记账凭证汇总'!AS132-'记账凭证汇总'!AT132</f>
        <v>0</v>
      </c>
      <c r="S15" s="163">
        <f>'记账凭证汇总'!AW132-'记账凭证汇总'!AX132</f>
        <v>0</v>
      </c>
      <c r="T15" s="341">
        <f t="shared" si="4"/>
        <v>0</v>
      </c>
      <c r="U15" s="342">
        <f t="shared" si="5"/>
        <v>0</v>
      </c>
      <c r="V15" s="339"/>
      <c r="W15" s="3"/>
    </row>
    <row r="16" spans="1:23" ht="15">
      <c r="A16" s="277">
        <v>7</v>
      </c>
      <c r="B16" s="278" t="s">
        <v>713</v>
      </c>
      <c r="C16" s="54"/>
      <c r="D16" s="273">
        <f>'记账凭证汇总'!E133-'记账凭证汇总'!F133</f>
        <v>0</v>
      </c>
      <c r="E16" s="279">
        <f>'记账凭证汇总'!I133-'记账凭证汇总'!J133</f>
        <v>0</v>
      </c>
      <c r="F16" s="279">
        <f>'记账凭证汇总'!M133-'记账凭证汇总'!N133</f>
        <v>0</v>
      </c>
      <c r="G16" s="340">
        <f t="shared" si="0"/>
        <v>0</v>
      </c>
      <c r="H16" s="279">
        <f>'记账凭证汇总'!Q133-'记账凭证汇总'!R133</f>
        <v>0</v>
      </c>
      <c r="I16" s="163">
        <f>'记账凭证汇总'!U133-'记账凭证汇总'!V133</f>
        <v>0</v>
      </c>
      <c r="J16" s="163">
        <f>'记账凭证汇总'!Y133-'记账凭证汇总'!Z133</f>
        <v>0</v>
      </c>
      <c r="K16" s="341">
        <f t="shared" si="1"/>
        <v>0</v>
      </c>
      <c r="L16" s="341">
        <f t="shared" si="2"/>
        <v>0</v>
      </c>
      <c r="M16" s="163">
        <f>'记账凭证汇总'!AC133-'记账凭证汇总'!AD133</f>
        <v>0</v>
      </c>
      <c r="N16" s="163">
        <f>'记账凭证汇总'!AG133-'记账凭证汇总'!AH133</f>
        <v>0</v>
      </c>
      <c r="O16" s="163">
        <f>'记账凭证汇总'!AK133-'记账凭证汇总'!AL133</f>
        <v>0</v>
      </c>
      <c r="P16" s="341">
        <f t="shared" si="3"/>
        <v>0</v>
      </c>
      <c r="Q16" s="163">
        <f>'记账凭证汇总'!AO133-'记账凭证汇总'!AP133</f>
        <v>0</v>
      </c>
      <c r="R16" s="163">
        <f>'记账凭证汇总'!AS133-'记账凭证汇总'!AT133</f>
        <v>0</v>
      </c>
      <c r="S16" s="163">
        <f>'记账凭证汇总'!AW133-'记账凭证汇总'!AX133</f>
        <v>0</v>
      </c>
      <c r="T16" s="341">
        <f t="shared" si="4"/>
        <v>0</v>
      </c>
      <c r="U16" s="342">
        <f t="shared" si="5"/>
        <v>0</v>
      </c>
      <c r="V16" s="339"/>
      <c r="W16" s="3"/>
    </row>
    <row r="17" spans="1:23" ht="15">
      <c r="A17" s="277">
        <v>8</v>
      </c>
      <c r="B17" s="278" t="s">
        <v>388</v>
      </c>
      <c r="C17" s="54"/>
      <c r="D17" s="273">
        <f>'记账凭证汇总'!E134-'记账凭证汇总'!F134</f>
        <v>0</v>
      </c>
      <c r="E17" s="279">
        <f>'记账凭证汇总'!I134-'记账凭证汇总'!J134</f>
        <v>0</v>
      </c>
      <c r="F17" s="279">
        <f>'记账凭证汇总'!M134-'记账凭证汇总'!N134</f>
        <v>0</v>
      </c>
      <c r="G17" s="340">
        <f t="shared" si="0"/>
        <v>0</v>
      </c>
      <c r="H17" s="279">
        <f>'记账凭证汇总'!Q134-'记账凭证汇总'!R134</f>
        <v>0</v>
      </c>
      <c r="I17" s="163">
        <f>'记账凭证汇总'!U134-'记账凭证汇总'!V134</f>
        <v>0</v>
      </c>
      <c r="J17" s="163">
        <f>'记账凭证汇总'!Y134-'记账凭证汇总'!Z134</f>
        <v>0</v>
      </c>
      <c r="K17" s="341">
        <f t="shared" si="1"/>
        <v>0</v>
      </c>
      <c r="L17" s="341">
        <f t="shared" si="2"/>
        <v>0</v>
      </c>
      <c r="M17" s="163">
        <f>'记账凭证汇总'!AC134-'记账凭证汇总'!AD134</f>
        <v>0</v>
      </c>
      <c r="N17" s="163">
        <f>'记账凭证汇总'!AG134-'记账凭证汇总'!AH134</f>
        <v>0</v>
      </c>
      <c r="O17" s="163">
        <f>'记账凭证汇总'!AK134-'记账凭证汇总'!AL134</f>
        <v>0</v>
      </c>
      <c r="P17" s="341">
        <f t="shared" si="3"/>
        <v>0</v>
      </c>
      <c r="Q17" s="163">
        <f>'记账凭证汇总'!AO134-'记账凭证汇总'!AP134</f>
        <v>0</v>
      </c>
      <c r="R17" s="163">
        <f>'记账凭证汇总'!AS134-'记账凭证汇总'!AT134</f>
        <v>0</v>
      </c>
      <c r="S17" s="163">
        <f>'记账凭证汇总'!AW134-'记账凭证汇总'!AX134</f>
        <v>0</v>
      </c>
      <c r="T17" s="341">
        <f t="shared" si="4"/>
        <v>0</v>
      </c>
      <c r="U17" s="342">
        <f t="shared" si="5"/>
        <v>0</v>
      </c>
      <c r="V17" s="339"/>
      <c r="W17" s="3"/>
    </row>
    <row r="18" spans="1:23" ht="14.25">
      <c r="A18" s="277">
        <v>9</v>
      </c>
      <c r="B18" s="278" t="s">
        <v>383</v>
      </c>
      <c r="C18" s="71"/>
      <c r="D18" s="273">
        <f>'记账凭证汇总'!E135-'记账凭证汇总'!F135</f>
        <v>0</v>
      </c>
      <c r="E18" s="279">
        <f>'记账凭证汇总'!I135-'记账凭证汇总'!J135</f>
        <v>0</v>
      </c>
      <c r="F18" s="279">
        <f>'记账凭证汇总'!M135-'记账凭证汇总'!N135</f>
        <v>0</v>
      </c>
      <c r="G18" s="340">
        <f t="shared" si="0"/>
        <v>0</v>
      </c>
      <c r="H18" s="279">
        <f>'记账凭证汇总'!Q135-'记账凭证汇总'!R135</f>
        <v>0</v>
      </c>
      <c r="I18" s="163">
        <f>'记账凭证汇总'!U135-'记账凭证汇总'!V135</f>
        <v>0</v>
      </c>
      <c r="J18" s="163">
        <f>'记账凭证汇总'!Y135-'记账凭证汇总'!Z135</f>
        <v>0</v>
      </c>
      <c r="K18" s="341">
        <f t="shared" si="1"/>
        <v>0</v>
      </c>
      <c r="L18" s="341">
        <f t="shared" si="2"/>
        <v>0</v>
      </c>
      <c r="M18" s="163">
        <f>'记账凭证汇总'!AC135-'记账凭证汇总'!AD135</f>
        <v>0</v>
      </c>
      <c r="N18" s="163">
        <f>'记账凭证汇总'!AG135-'记账凭证汇总'!AH135</f>
        <v>0</v>
      </c>
      <c r="O18" s="163">
        <f>'记账凭证汇总'!AK135-'记账凭证汇总'!AL135</f>
        <v>0</v>
      </c>
      <c r="P18" s="341">
        <f t="shared" si="3"/>
        <v>0</v>
      </c>
      <c r="Q18" s="163">
        <f>'记账凭证汇总'!AO135-'记账凭证汇总'!AP135</f>
        <v>0</v>
      </c>
      <c r="R18" s="163">
        <f>'记账凭证汇总'!AS135-'记账凭证汇总'!AT135</f>
        <v>0</v>
      </c>
      <c r="S18" s="163">
        <f>'记账凭证汇总'!AW135-'记账凭证汇总'!AX135</f>
        <v>0</v>
      </c>
      <c r="T18" s="341">
        <f t="shared" si="4"/>
        <v>0</v>
      </c>
      <c r="U18" s="342">
        <f t="shared" si="5"/>
        <v>0</v>
      </c>
      <c r="V18" s="339"/>
      <c r="W18" s="3"/>
    </row>
    <row r="19" spans="1:23" ht="14.25">
      <c r="A19" s="277">
        <v>10</v>
      </c>
      <c r="B19" s="278" t="s">
        <v>1019</v>
      </c>
      <c r="C19" s="71"/>
      <c r="D19" s="273">
        <f>'记账凭证汇总'!E136-'记账凭证汇总'!F136</f>
        <v>0</v>
      </c>
      <c r="E19" s="279">
        <f>'记账凭证汇总'!I136-'记账凭证汇总'!J136</f>
        <v>0</v>
      </c>
      <c r="F19" s="279">
        <f>'记账凭证汇总'!M136-'记账凭证汇总'!N136</f>
        <v>0</v>
      </c>
      <c r="G19" s="340">
        <f t="shared" si="0"/>
        <v>0</v>
      </c>
      <c r="H19" s="279">
        <f>'记账凭证汇总'!Q136-'记账凭证汇总'!R136</f>
        <v>0</v>
      </c>
      <c r="I19" s="163">
        <f>'记账凭证汇总'!U136-'记账凭证汇总'!V136</f>
        <v>0</v>
      </c>
      <c r="J19" s="163">
        <f>'记账凭证汇总'!Y136-'记账凭证汇总'!Z136</f>
        <v>0</v>
      </c>
      <c r="K19" s="341">
        <f t="shared" si="1"/>
        <v>0</v>
      </c>
      <c r="L19" s="341">
        <f t="shared" si="2"/>
        <v>0</v>
      </c>
      <c r="M19" s="163">
        <f>'记账凭证汇总'!AC136-'记账凭证汇总'!AD136</f>
        <v>0</v>
      </c>
      <c r="N19" s="163">
        <f>'记账凭证汇总'!AG136-'记账凭证汇总'!AH136</f>
        <v>0</v>
      </c>
      <c r="O19" s="163">
        <f>'记账凭证汇总'!AK136-'记账凭证汇总'!AL136</f>
        <v>0</v>
      </c>
      <c r="P19" s="341">
        <f t="shared" si="3"/>
        <v>0</v>
      </c>
      <c r="Q19" s="163">
        <f>'记账凭证汇总'!AO136-'记账凭证汇总'!AP136</f>
        <v>0</v>
      </c>
      <c r="R19" s="163">
        <f>'记账凭证汇总'!AS136-'记账凭证汇总'!AT136</f>
        <v>0</v>
      </c>
      <c r="S19" s="163">
        <f>'记账凭证汇总'!AW136-'记账凭证汇总'!AX136</f>
        <v>0</v>
      </c>
      <c r="T19" s="341">
        <f t="shared" si="4"/>
        <v>0</v>
      </c>
      <c r="U19" s="342">
        <f t="shared" si="5"/>
        <v>0</v>
      </c>
      <c r="V19" s="339"/>
      <c r="W19" s="3"/>
    </row>
    <row r="20" spans="1:23" ht="15">
      <c r="A20" s="277">
        <v>11</v>
      </c>
      <c r="B20" s="278"/>
      <c r="C20" s="54"/>
      <c r="D20" s="273"/>
      <c r="E20" s="279"/>
      <c r="F20" s="279"/>
      <c r="G20" s="340">
        <f t="shared" si="0"/>
        <v>0</v>
      </c>
      <c r="H20" s="279"/>
      <c r="I20" s="163"/>
      <c r="J20" s="163"/>
      <c r="K20" s="341">
        <f t="shared" si="1"/>
        <v>0</v>
      </c>
      <c r="L20" s="341">
        <f t="shared" si="2"/>
        <v>0</v>
      </c>
      <c r="M20" s="163"/>
      <c r="N20" s="163"/>
      <c r="O20" s="163"/>
      <c r="P20" s="341">
        <f t="shared" si="3"/>
        <v>0</v>
      </c>
      <c r="Q20" s="163"/>
      <c r="R20" s="163"/>
      <c r="S20" s="163"/>
      <c r="T20" s="341">
        <f t="shared" si="4"/>
        <v>0</v>
      </c>
      <c r="U20" s="342">
        <f t="shared" si="5"/>
        <v>0</v>
      </c>
      <c r="V20" s="339"/>
      <c r="W20" s="3"/>
    </row>
    <row r="21" spans="1:23" ht="15" hidden="1">
      <c r="A21" s="277">
        <v>12</v>
      </c>
      <c r="B21" s="278"/>
      <c r="C21" s="54"/>
      <c r="D21" s="273"/>
      <c r="E21" s="279"/>
      <c r="F21" s="279"/>
      <c r="G21" s="340">
        <f t="shared" si="0"/>
        <v>0</v>
      </c>
      <c r="H21" s="279"/>
      <c r="I21" s="163"/>
      <c r="J21" s="163"/>
      <c r="K21" s="341">
        <f t="shared" si="1"/>
        <v>0</v>
      </c>
      <c r="L21" s="341">
        <f t="shared" si="2"/>
        <v>0</v>
      </c>
      <c r="M21" s="163"/>
      <c r="N21" s="163"/>
      <c r="O21" s="163"/>
      <c r="P21" s="341">
        <f t="shared" si="3"/>
        <v>0</v>
      </c>
      <c r="Q21" s="163"/>
      <c r="R21" s="163"/>
      <c r="S21" s="163"/>
      <c r="T21" s="341">
        <f t="shared" si="4"/>
        <v>0</v>
      </c>
      <c r="U21" s="342">
        <f t="shared" si="5"/>
        <v>0</v>
      </c>
      <c r="V21" s="339"/>
      <c r="W21" s="3"/>
    </row>
    <row r="22" spans="1:23" ht="15" hidden="1">
      <c r="A22" s="277">
        <v>13</v>
      </c>
      <c r="B22" s="278"/>
      <c r="C22" s="54"/>
      <c r="D22" s="273"/>
      <c r="E22" s="279"/>
      <c r="F22" s="279"/>
      <c r="G22" s="340">
        <f t="shared" si="0"/>
        <v>0</v>
      </c>
      <c r="H22" s="279"/>
      <c r="I22" s="163"/>
      <c r="J22" s="163"/>
      <c r="K22" s="341">
        <f t="shared" si="1"/>
        <v>0</v>
      </c>
      <c r="L22" s="341">
        <f t="shared" si="2"/>
        <v>0</v>
      </c>
      <c r="M22" s="163"/>
      <c r="N22" s="163"/>
      <c r="O22" s="163"/>
      <c r="P22" s="341">
        <f t="shared" si="3"/>
        <v>0</v>
      </c>
      <c r="Q22" s="163"/>
      <c r="R22" s="163"/>
      <c r="S22" s="163"/>
      <c r="T22" s="341">
        <f t="shared" si="4"/>
        <v>0</v>
      </c>
      <c r="U22" s="342">
        <f t="shared" si="5"/>
        <v>0</v>
      </c>
      <c r="V22" s="339"/>
      <c r="W22" s="3"/>
    </row>
    <row r="23" spans="1:23" ht="15" hidden="1">
      <c r="A23" s="277">
        <v>14</v>
      </c>
      <c r="B23" s="278"/>
      <c r="C23" s="54"/>
      <c r="D23" s="273"/>
      <c r="E23" s="279"/>
      <c r="F23" s="279"/>
      <c r="G23" s="340">
        <f t="shared" si="0"/>
        <v>0</v>
      </c>
      <c r="H23" s="279"/>
      <c r="I23" s="163"/>
      <c r="J23" s="163"/>
      <c r="K23" s="341">
        <f t="shared" si="1"/>
        <v>0</v>
      </c>
      <c r="L23" s="341">
        <f t="shared" si="2"/>
        <v>0</v>
      </c>
      <c r="M23" s="163"/>
      <c r="N23" s="163"/>
      <c r="O23" s="163"/>
      <c r="P23" s="341">
        <f t="shared" si="3"/>
        <v>0</v>
      </c>
      <c r="Q23" s="163"/>
      <c r="R23" s="163"/>
      <c r="S23" s="163"/>
      <c r="T23" s="341">
        <f t="shared" si="4"/>
        <v>0</v>
      </c>
      <c r="U23" s="342">
        <f t="shared" si="5"/>
        <v>0</v>
      </c>
      <c r="V23" s="339"/>
      <c r="W23" s="3"/>
    </row>
    <row r="24" spans="1:23" ht="15" hidden="1">
      <c r="A24" s="277">
        <v>15</v>
      </c>
      <c r="B24" s="278"/>
      <c r="C24" s="54"/>
      <c r="D24" s="273"/>
      <c r="E24" s="279"/>
      <c r="F24" s="279"/>
      <c r="G24" s="340">
        <f t="shared" si="0"/>
        <v>0</v>
      </c>
      <c r="H24" s="279"/>
      <c r="I24" s="163"/>
      <c r="J24" s="163"/>
      <c r="K24" s="341">
        <f t="shared" si="1"/>
        <v>0</v>
      </c>
      <c r="L24" s="341">
        <f t="shared" si="2"/>
        <v>0</v>
      </c>
      <c r="M24" s="163"/>
      <c r="N24" s="163"/>
      <c r="O24" s="163"/>
      <c r="P24" s="341">
        <f t="shared" si="3"/>
        <v>0</v>
      </c>
      <c r="Q24" s="163"/>
      <c r="R24" s="163"/>
      <c r="S24" s="163"/>
      <c r="T24" s="341">
        <f t="shared" si="4"/>
        <v>0</v>
      </c>
      <c r="U24" s="342">
        <f>P24+T24</f>
        <v>0</v>
      </c>
      <c r="V24" s="339"/>
      <c r="W24" s="3"/>
    </row>
    <row r="25" spans="1:23" ht="15" hidden="1">
      <c r="A25" s="277">
        <v>16</v>
      </c>
      <c r="B25" s="278"/>
      <c r="C25" s="54"/>
      <c r="D25" s="273"/>
      <c r="E25" s="279"/>
      <c r="F25" s="279"/>
      <c r="G25" s="340">
        <f t="shared" si="0"/>
        <v>0</v>
      </c>
      <c r="H25" s="279"/>
      <c r="I25" s="163"/>
      <c r="J25" s="163"/>
      <c r="K25" s="341">
        <f t="shared" si="1"/>
        <v>0</v>
      </c>
      <c r="L25" s="341">
        <f t="shared" si="2"/>
        <v>0</v>
      </c>
      <c r="M25" s="163"/>
      <c r="N25" s="163"/>
      <c r="O25" s="163"/>
      <c r="P25" s="341">
        <f t="shared" si="3"/>
        <v>0</v>
      </c>
      <c r="Q25" s="163"/>
      <c r="R25" s="163"/>
      <c r="S25" s="163"/>
      <c r="T25" s="341">
        <f t="shared" si="4"/>
        <v>0</v>
      </c>
      <c r="U25" s="342">
        <f t="shared" si="5"/>
        <v>0</v>
      </c>
      <c r="V25" s="339"/>
      <c r="W25" s="3"/>
    </row>
    <row r="26" spans="1:23" ht="15" hidden="1">
      <c r="A26" s="277">
        <v>17</v>
      </c>
      <c r="B26" s="278"/>
      <c r="C26" s="54"/>
      <c r="D26" s="273"/>
      <c r="E26" s="279"/>
      <c r="F26" s="279"/>
      <c r="G26" s="340">
        <f t="shared" si="0"/>
        <v>0</v>
      </c>
      <c r="H26" s="279"/>
      <c r="I26" s="163"/>
      <c r="J26" s="163"/>
      <c r="K26" s="341">
        <f t="shared" si="1"/>
        <v>0</v>
      </c>
      <c r="L26" s="341">
        <f t="shared" si="2"/>
        <v>0</v>
      </c>
      <c r="M26" s="163"/>
      <c r="N26" s="163"/>
      <c r="O26" s="163"/>
      <c r="P26" s="341">
        <f t="shared" si="3"/>
        <v>0</v>
      </c>
      <c r="Q26" s="163"/>
      <c r="R26" s="163"/>
      <c r="S26" s="163"/>
      <c r="T26" s="341">
        <f t="shared" si="4"/>
        <v>0</v>
      </c>
      <c r="U26" s="342">
        <f t="shared" si="5"/>
        <v>0</v>
      </c>
      <c r="V26" s="339"/>
      <c r="W26" s="3"/>
    </row>
    <row r="27" spans="1:23" ht="15" hidden="1">
      <c r="A27" s="277">
        <v>18</v>
      </c>
      <c r="B27" s="278"/>
      <c r="C27" s="54"/>
      <c r="D27" s="273"/>
      <c r="E27" s="279"/>
      <c r="F27" s="279"/>
      <c r="G27" s="340">
        <f t="shared" si="0"/>
        <v>0</v>
      </c>
      <c r="H27" s="279"/>
      <c r="I27" s="163"/>
      <c r="J27" s="163"/>
      <c r="K27" s="341">
        <f t="shared" si="1"/>
        <v>0</v>
      </c>
      <c r="L27" s="341">
        <f>G27+K27</f>
        <v>0</v>
      </c>
      <c r="M27" s="163"/>
      <c r="N27" s="163"/>
      <c r="O27" s="163"/>
      <c r="P27" s="341">
        <f t="shared" si="3"/>
        <v>0</v>
      </c>
      <c r="Q27" s="163"/>
      <c r="R27" s="163"/>
      <c r="S27" s="163"/>
      <c r="T27" s="341">
        <f t="shared" si="4"/>
        <v>0</v>
      </c>
      <c r="U27" s="342">
        <f t="shared" si="5"/>
        <v>0</v>
      </c>
      <c r="V27" s="339"/>
      <c r="W27" s="3"/>
    </row>
    <row r="28" spans="1:23" ht="14.25" hidden="1">
      <c r="A28" s="277">
        <v>19</v>
      </c>
      <c r="B28" s="278"/>
      <c r="C28" s="71"/>
      <c r="D28" s="273"/>
      <c r="E28" s="279"/>
      <c r="F28" s="279"/>
      <c r="G28" s="340">
        <f t="shared" si="0"/>
        <v>0</v>
      </c>
      <c r="H28" s="279"/>
      <c r="I28" s="163"/>
      <c r="J28" s="163"/>
      <c r="K28" s="341">
        <f t="shared" si="1"/>
        <v>0</v>
      </c>
      <c r="L28" s="341">
        <f t="shared" si="2"/>
        <v>0</v>
      </c>
      <c r="M28" s="163"/>
      <c r="N28" s="163"/>
      <c r="O28" s="163"/>
      <c r="P28" s="341">
        <f>M28+N28+O28</f>
        <v>0</v>
      </c>
      <c r="Q28" s="163"/>
      <c r="R28" s="163"/>
      <c r="S28" s="163"/>
      <c r="T28" s="341">
        <f t="shared" si="4"/>
        <v>0</v>
      </c>
      <c r="U28" s="342">
        <f t="shared" si="5"/>
        <v>0</v>
      </c>
      <c r="V28" s="339"/>
      <c r="W28" s="3"/>
    </row>
    <row r="29" spans="1:23" ht="14.25" hidden="1">
      <c r="A29" s="277">
        <v>20</v>
      </c>
      <c r="B29" s="278"/>
      <c r="C29" s="71"/>
      <c r="D29" s="273"/>
      <c r="E29" s="279"/>
      <c r="F29" s="279"/>
      <c r="G29" s="340">
        <f t="shared" si="0"/>
        <v>0</v>
      </c>
      <c r="H29" s="279"/>
      <c r="I29" s="163"/>
      <c r="J29" s="163"/>
      <c r="K29" s="341">
        <f>H29+I29+J29</f>
        <v>0</v>
      </c>
      <c r="L29" s="341">
        <f t="shared" si="2"/>
        <v>0</v>
      </c>
      <c r="M29" s="163"/>
      <c r="N29" s="163"/>
      <c r="O29" s="163"/>
      <c r="P29" s="341">
        <f t="shared" si="3"/>
        <v>0</v>
      </c>
      <c r="Q29" s="163"/>
      <c r="R29" s="163"/>
      <c r="S29" s="163"/>
      <c r="T29" s="341">
        <f t="shared" si="4"/>
        <v>0</v>
      </c>
      <c r="U29" s="342">
        <f t="shared" si="5"/>
        <v>0</v>
      </c>
      <c r="V29" s="339"/>
      <c r="W29" s="3"/>
    </row>
    <row r="30" spans="1:23" ht="14.25" hidden="1">
      <c r="A30" s="277">
        <v>21</v>
      </c>
      <c r="B30" s="278"/>
      <c r="C30" s="71"/>
      <c r="D30" s="273"/>
      <c r="E30" s="279"/>
      <c r="F30" s="279"/>
      <c r="G30" s="340">
        <f t="shared" si="0"/>
        <v>0</v>
      </c>
      <c r="H30" s="279"/>
      <c r="I30" s="163"/>
      <c r="J30" s="163"/>
      <c r="K30" s="341">
        <f t="shared" si="1"/>
        <v>0</v>
      </c>
      <c r="L30" s="341">
        <f t="shared" si="2"/>
        <v>0</v>
      </c>
      <c r="M30" s="163"/>
      <c r="N30" s="163"/>
      <c r="O30" s="163"/>
      <c r="P30" s="341">
        <f t="shared" si="3"/>
        <v>0</v>
      </c>
      <c r="Q30" s="163"/>
      <c r="R30" s="163"/>
      <c r="S30" s="163"/>
      <c r="T30" s="341">
        <f>Q30+R30+S30</f>
        <v>0</v>
      </c>
      <c r="U30" s="342">
        <f t="shared" si="5"/>
        <v>0</v>
      </c>
      <c r="V30" s="339"/>
      <c r="W30" s="3"/>
    </row>
    <row r="31" spans="1:23" ht="14.25" hidden="1">
      <c r="A31" s="277">
        <v>22</v>
      </c>
      <c r="B31" s="278"/>
      <c r="C31" s="71"/>
      <c r="D31" s="273"/>
      <c r="E31" s="279"/>
      <c r="F31" s="279"/>
      <c r="G31" s="340">
        <f t="shared" si="0"/>
        <v>0</v>
      </c>
      <c r="H31" s="279"/>
      <c r="I31" s="163"/>
      <c r="J31" s="163"/>
      <c r="K31" s="341">
        <f t="shared" si="1"/>
        <v>0</v>
      </c>
      <c r="L31" s="341">
        <f t="shared" si="2"/>
        <v>0</v>
      </c>
      <c r="M31" s="163"/>
      <c r="N31" s="163"/>
      <c r="O31" s="163"/>
      <c r="P31" s="341">
        <f t="shared" si="3"/>
        <v>0</v>
      </c>
      <c r="Q31" s="163"/>
      <c r="R31" s="163"/>
      <c r="S31" s="163"/>
      <c r="T31" s="341">
        <f t="shared" si="4"/>
        <v>0</v>
      </c>
      <c r="U31" s="342">
        <f t="shared" si="5"/>
        <v>0</v>
      </c>
      <c r="V31" s="339"/>
      <c r="W31" s="3"/>
    </row>
    <row r="32" spans="1:23" ht="14.25" hidden="1">
      <c r="A32" s="277">
        <v>23</v>
      </c>
      <c r="B32" s="278"/>
      <c r="C32" s="71"/>
      <c r="D32" s="273"/>
      <c r="E32" s="279"/>
      <c r="F32" s="279"/>
      <c r="G32" s="340">
        <f t="shared" si="0"/>
        <v>0</v>
      </c>
      <c r="H32" s="279"/>
      <c r="I32" s="163"/>
      <c r="J32" s="163"/>
      <c r="K32" s="341">
        <f t="shared" si="1"/>
        <v>0</v>
      </c>
      <c r="L32" s="341">
        <f t="shared" si="2"/>
        <v>0</v>
      </c>
      <c r="M32" s="163"/>
      <c r="N32" s="163"/>
      <c r="O32" s="163"/>
      <c r="P32" s="341">
        <f t="shared" si="3"/>
        <v>0</v>
      </c>
      <c r="Q32" s="163"/>
      <c r="R32" s="163"/>
      <c r="S32" s="163"/>
      <c r="T32" s="341">
        <f t="shared" si="4"/>
        <v>0</v>
      </c>
      <c r="U32" s="342">
        <f t="shared" si="5"/>
        <v>0</v>
      </c>
      <c r="V32" s="339"/>
      <c r="W32" s="3"/>
    </row>
    <row r="33" spans="1:23" ht="15" hidden="1">
      <c r="A33" s="277">
        <v>24</v>
      </c>
      <c r="B33" s="278"/>
      <c r="C33" s="54"/>
      <c r="D33" s="273"/>
      <c r="E33" s="279"/>
      <c r="F33" s="279"/>
      <c r="G33" s="340">
        <f t="shared" si="0"/>
        <v>0</v>
      </c>
      <c r="H33" s="279"/>
      <c r="I33" s="163"/>
      <c r="J33" s="163"/>
      <c r="K33" s="341">
        <f t="shared" si="1"/>
        <v>0</v>
      </c>
      <c r="L33" s="341">
        <f t="shared" si="2"/>
        <v>0</v>
      </c>
      <c r="M33" s="163"/>
      <c r="N33" s="163"/>
      <c r="O33" s="163"/>
      <c r="P33" s="341">
        <f t="shared" si="3"/>
        <v>0</v>
      </c>
      <c r="Q33" s="163"/>
      <c r="R33" s="163"/>
      <c r="S33" s="163"/>
      <c r="T33" s="341">
        <f t="shared" si="4"/>
        <v>0</v>
      </c>
      <c r="U33" s="342">
        <f t="shared" si="5"/>
        <v>0</v>
      </c>
      <c r="V33" s="339"/>
      <c r="W33" s="3"/>
    </row>
    <row r="34" spans="1:23" ht="14.25" hidden="1">
      <c r="A34" s="277">
        <v>25</v>
      </c>
      <c r="B34" s="280"/>
      <c r="C34" s="71"/>
      <c r="D34" s="281"/>
      <c r="E34" s="163"/>
      <c r="F34" s="163"/>
      <c r="G34" s="341"/>
      <c r="H34" s="163"/>
      <c r="I34" s="163"/>
      <c r="J34" s="163"/>
      <c r="K34" s="341"/>
      <c r="L34" s="341"/>
      <c r="M34" s="163"/>
      <c r="N34" s="163"/>
      <c r="O34" s="163"/>
      <c r="P34" s="341"/>
      <c r="Q34" s="163"/>
      <c r="R34" s="163"/>
      <c r="S34" s="343"/>
      <c r="T34" s="344"/>
      <c r="U34" s="344"/>
      <c r="V34" s="339"/>
      <c r="W34" s="3"/>
    </row>
    <row r="35" spans="1:23" ht="15" hidden="1">
      <c r="A35" s="277">
        <v>26</v>
      </c>
      <c r="B35" s="280"/>
      <c r="C35" s="54"/>
      <c r="D35" s="281"/>
      <c r="E35" s="163"/>
      <c r="F35" s="163"/>
      <c r="G35" s="341"/>
      <c r="H35" s="163"/>
      <c r="I35" s="163"/>
      <c r="J35" s="163"/>
      <c r="K35" s="341"/>
      <c r="L35" s="341"/>
      <c r="M35" s="163"/>
      <c r="N35" s="163"/>
      <c r="O35" s="163"/>
      <c r="P35" s="341"/>
      <c r="Q35" s="163"/>
      <c r="R35" s="163"/>
      <c r="S35" s="343"/>
      <c r="T35" s="344"/>
      <c r="U35" s="344"/>
      <c r="V35" s="339"/>
      <c r="W35" s="3"/>
    </row>
    <row r="36" spans="1:23" ht="14.25" hidden="1">
      <c r="A36" s="282">
        <v>27</v>
      </c>
      <c r="B36" s="283"/>
      <c r="C36" s="71"/>
      <c r="D36" s="281"/>
      <c r="E36" s="163"/>
      <c r="F36" s="163"/>
      <c r="G36" s="341"/>
      <c r="H36" s="163"/>
      <c r="I36" s="163"/>
      <c r="J36" s="163"/>
      <c r="K36" s="341"/>
      <c r="L36" s="341"/>
      <c r="M36" s="163"/>
      <c r="N36" s="163"/>
      <c r="O36" s="163"/>
      <c r="P36" s="341"/>
      <c r="Q36" s="163"/>
      <c r="R36" s="163"/>
      <c r="S36" s="343"/>
      <c r="T36" s="344"/>
      <c r="U36" s="344"/>
      <c r="V36" s="339"/>
      <c r="W36" s="3"/>
    </row>
    <row r="37" spans="1:23" ht="14.25" hidden="1">
      <c r="A37" s="282">
        <v>28</v>
      </c>
      <c r="B37" s="283"/>
      <c r="C37" s="71"/>
      <c r="D37" s="281"/>
      <c r="E37" s="163"/>
      <c r="F37" s="163"/>
      <c r="G37" s="341"/>
      <c r="H37" s="163"/>
      <c r="I37" s="163"/>
      <c r="J37" s="163"/>
      <c r="K37" s="341"/>
      <c r="L37" s="341"/>
      <c r="M37" s="163"/>
      <c r="N37" s="163"/>
      <c r="O37" s="163"/>
      <c r="P37" s="341"/>
      <c r="Q37" s="163"/>
      <c r="R37" s="163"/>
      <c r="S37" s="343"/>
      <c r="T37" s="344"/>
      <c r="U37" s="344"/>
      <c r="V37" s="339"/>
      <c r="W37" s="3"/>
    </row>
    <row r="38" spans="1:23" ht="15.75" thickBot="1">
      <c r="A38" s="284">
        <v>29</v>
      </c>
      <c r="B38" s="285" t="s">
        <v>994</v>
      </c>
      <c r="C38" s="286" t="s">
        <v>995</v>
      </c>
      <c r="D38" s="287">
        <f aca="true" t="shared" si="6" ref="D38:U38">SUM(D10:D37)</f>
        <v>600</v>
      </c>
      <c r="E38" s="288">
        <f t="shared" si="6"/>
        <v>0</v>
      </c>
      <c r="F38" s="288">
        <f t="shared" si="6"/>
        <v>0</v>
      </c>
      <c r="G38" s="345">
        <f t="shared" si="6"/>
        <v>600</v>
      </c>
      <c r="H38" s="288">
        <f t="shared" si="6"/>
        <v>0</v>
      </c>
      <c r="I38" s="288">
        <f t="shared" si="6"/>
        <v>0</v>
      </c>
      <c r="J38" s="288">
        <f t="shared" si="6"/>
        <v>0</v>
      </c>
      <c r="K38" s="345">
        <f>SUM(K10:K37)</f>
        <v>0</v>
      </c>
      <c r="L38" s="345">
        <f>SUM(L10:L37)</f>
        <v>600</v>
      </c>
      <c r="M38" s="288">
        <f t="shared" si="6"/>
        <v>0</v>
      </c>
      <c r="N38" s="288">
        <f t="shared" si="6"/>
        <v>0</v>
      </c>
      <c r="O38" s="288">
        <f t="shared" si="6"/>
        <v>0</v>
      </c>
      <c r="P38" s="345">
        <f t="shared" si="6"/>
        <v>0</v>
      </c>
      <c r="Q38" s="288">
        <f t="shared" si="6"/>
        <v>0</v>
      </c>
      <c r="R38" s="288">
        <f t="shared" si="6"/>
        <v>0</v>
      </c>
      <c r="S38" s="288">
        <f t="shared" si="6"/>
        <v>0</v>
      </c>
      <c r="T38" s="345">
        <f t="shared" si="6"/>
        <v>0</v>
      </c>
      <c r="U38" s="345">
        <f t="shared" si="6"/>
        <v>0</v>
      </c>
      <c r="V38" s="346"/>
      <c r="W38" s="3"/>
    </row>
    <row r="39" spans="1:23" ht="15.75" thickBot="1" thickTop="1">
      <c r="A39" s="797" t="s">
        <v>432</v>
      </c>
      <c r="B39" s="123"/>
      <c r="C39" s="123"/>
      <c r="K39" s="225"/>
      <c r="L39" s="225"/>
      <c r="P39" s="225"/>
      <c r="T39" s="225"/>
      <c r="U39" s="225"/>
      <c r="W39" s="3"/>
    </row>
    <row r="40" spans="1:23" ht="15" thickTop="1">
      <c r="A40" s="973" t="s">
        <v>989</v>
      </c>
      <c r="B40" s="975" t="s">
        <v>990</v>
      </c>
      <c r="C40" s="978"/>
      <c r="D40" s="290" t="s">
        <v>996</v>
      </c>
      <c r="E40" s="160" t="s">
        <v>997</v>
      </c>
      <c r="F40" s="291" t="s">
        <v>998</v>
      </c>
      <c r="G40" s="314" t="s">
        <v>421</v>
      </c>
      <c r="H40" s="160" t="s">
        <v>999</v>
      </c>
      <c r="I40" s="160" t="s">
        <v>1000</v>
      </c>
      <c r="J40" s="160" t="s">
        <v>1001</v>
      </c>
      <c r="K40" s="314" t="s">
        <v>430</v>
      </c>
      <c r="L40" s="314" t="s">
        <v>423</v>
      </c>
      <c r="M40" s="160" t="s">
        <v>1002</v>
      </c>
      <c r="N40" s="160" t="s">
        <v>1003</v>
      </c>
      <c r="O40" s="160" t="s">
        <v>1004</v>
      </c>
      <c r="P40" s="316" t="s">
        <v>427</v>
      </c>
      <c r="Q40" s="160" t="s">
        <v>1005</v>
      </c>
      <c r="R40" s="160" t="s">
        <v>1006</v>
      </c>
      <c r="S40" s="347" t="s">
        <v>1007</v>
      </c>
      <c r="T40" s="316" t="s">
        <v>428</v>
      </c>
      <c r="U40" s="318" t="s">
        <v>429</v>
      </c>
      <c r="V40" s="324"/>
      <c r="W40" s="3"/>
    </row>
    <row r="41" spans="1:23" ht="15.75" thickBot="1">
      <c r="A41" s="974"/>
      <c r="B41" s="976"/>
      <c r="C41" s="979"/>
      <c r="D41" s="259" t="s">
        <v>763</v>
      </c>
      <c r="E41" s="260" t="s">
        <v>764</v>
      </c>
      <c r="F41" s="261" t="s">
        <v>765</v>
      </c>
      <c r="G41" s="320" t="s">
        <v>1013</v>
      </c>
      <c r="H41" s="260" t="s">
        <v>766</v>
      </c>
      <c r="I41" s="260" t="s">
        <v>767</v>
      </c>
      <c r="J41" s="260" t="s">
        <v>768</v>
      </c>
      <c r="K41" s="320" t="s">
        <v>1015</v>
      </c>
      <c r="L41" s="320" t="s">
        <v>17</v>
      </c>
      <c r="M41" s="260" t="s">
        <v>769</v>
      </c>
      <c r="N41" s="260" t="s">
        <v>770</v>
      </c>
      <c r="O41" s="260" t="s">
        <v>771</v>
      </c>
      <c r="P41" s="321" t="s">
        <v>18</v>
      </c>
      <c r="Q41" s="260" t="s">
        <v>772</v>
      </c>
      <c r="R41" s="260" t="s">
        <v>773</v>
      </c>
      <c r="S41" s="322" t="s">
        <v>774</v>
      </c>
      <c r="T41" s="321" t="s">
        <v>19</v>
      </c>
      <c r="U41" s="323" t="s">
        <v>20</v>
      </c>
      <c r="V41" s="324"/>
      <c r="W41" s="3"/>
    </row>
    <row r="42" spans="1:23" ht="15.75">
      <c r="A42" s="981" t="s">
        <v>991</v>
      </c>
      <c r="B42" s="976"/>
      <c r="C42" s="979"/>
      <c r="D42" s="263" t="s">
        <v>1008</v>
      </c>
      <c r="E42" s="264" t="s">
        <v>1008</v>
      </c>
      <c r="F42" s="264" t="s">
        <v>1008</v>
      </c>
      <c r="G42" s="326" t="s">
        <v>1020</v>
      </c>
      <c r="H42" s="264" t="s">
        <v>1008</v>
      </c>
      <c r="I42" s="264" t="s">
        <v>1008</v>
      </c>
      <c r="J42" s="264" t="s">
        <v>1008</v>
      </c>
      <c r="K42" s="326" t="s">
        <v>1020</v>
      </c>
      <c r="L42" s="326" t="s">
        <v>1020</v>
      </c>
      <c r="M42" s="264" t="s">
        <v>1008</v>
      </c>
      <c r="N42" s="264" t="s">
        <v>1008</v>
      </c>
      <c r="O42" s="264" t="s">
        <v>1008</v>
      </c>
      <c r="P42" s="326" t="s">
        <v>1020</v>
      </c>
      <c r="Q42" s="264" t="s">
        <v>1008</v>
      </c>
      <c r="R42" s="264" t="s">
        <v>1008</v>
      </c>
      <c r="S42" s="325" t="s">
        <v>1008</v>
      </c>
      <c r="T42" s="328" t="s">
        <v>1020</v>
      </c>
      <c r="U42" s="328" t="s">
        <v>1020</v>
      </c>
      <c r="V42" s="329"/>
      <c r="W42" s="3"/>
    </row>
    <row r="43" spans="1:23" ht="15" thickBot="1">
      <c r="A43" s="982"/>
      <c r="B43" s="977"/>
      <c r="C43" s="980"/>
      <c r="D43" s="293" t="s">
        <v>987</v>
      </c>
      <c r="E43" s="294" t="s">
        <v>987</v>
      </c>
      <c r="F43" s="294" t="s">
        <v>987</v>
      </c>
      <c r="G43" s="348" t="s">
        <v>987</v>
      </c>
      <c r="H43" s="294" t="s">
        <v>987</v>
      </c>
      <c r="I43" s="294" t="s">
        <v>987</v>
      </c>
      <c r="J43" s="294" t="s">
        <v>987</v>
      </c>
      <c r="K43" s="348" t="s">
        <v>987</v>
      </c>
      <c r="L43" s="348" t="s">
        <v>987</v>
      </c>
      <c r="M43" s="294" t="s">
        <v>987</v>
      </c>
      <c r="N43" s="294" t="s">
        <v>987</v>
      </c>
      <c r="O43" s="294" t="s">
        <v>987</v>
      </c>
      <c r="P43" s="348" t="s">
        <v>987</v>
      </c>
      <c r="Q43" s="294" t="s">
        <v>987</v>
      </c>
      <c r="R43" s="294" t="s">
        <v>987</v>
      </c>
      <c r="S43" s="349" t="s">
        <v>987</v>
      </c>
      <c r="T43" s="350" t="s">
        <v>987</v>
      </c>
      <c r="U43" s="350" t="s">
        <v>987</v>
      </c>
      <c r="V43" s="351"/>
      <c r="W43" s="3"/>
    </row>
    <row r="44" spans="1:23" ht="15" thickTop="1">
      <c r="A44" s="270">
        <v>1</v>
      </c>
      <c r="B44" s="271" t="str">
        <f>B10</f>
        <v>改装修复费</v>
      </c>
      <c r="C44" s="272"/>
      <c r="D44" s="296">
        <f aca="true" t="shared" si="7" ref="D44:D71">D10</f>
        <v>0</v>
      </c>
      <c r="E44" s="297">
        <f aca="true" t="shared" si="8" ref="E44:S59">D44+E10</f>
        <v>0</v>
      </c>
      <c r="F44" s="297">
        <f t="shared" si="8"/>
        <v>0</v>
      </c>
      <c r="G44" s="352">
        <f>F44</f>
        <v>0</v>
      </c>
      <c r="H44" s="297">
        <f aca="true" t="shared" si="9" ref="H44:H71">F44+H10</f>
        <v>0</v>
      </c>
      <c r="I44" s="297">
        <f t="shared" si="8"/>
        <v>0</v>
      </c>
      <c r="J44" s="297">
        <f t="shared" si="8"/>
        <v>0</v>
      </c>
      <c r="K44" s="353">
        <f>J44</f>
        <v>0</v>
      </c>
      <c r="L44" s="353">
        <f>J44</f>
        <v>0</v>
      </c>
      <c r="M44" s="297">
        <f aca="true" t="shared" si="10" ref="M44:M71">J44+M10</f>
        <v>0</v>
      </c>
      <c r="N44" s="297">
        <f t="shared" si="8"/>
        <v>0</v>
      </c>
      <c r="O44" s="297">
        <f t="shared" si="8"/>
        <v>0</v>
      </c>
      <c r="P44" s="353">
        <f>O44</f>
        <v>0</v>
      </c>
      <c r="Q44" s="297">
        <f aca="true" t="shared" si="11" ref="Q44:Q71">O44+Q10</f>
        <v>0</v>
      </c>
      <c r="R44" s="297">
        <f t="shared" si="8"/>
        <v>0</v>
      </c>
      <c r="S44" s="354">
        <f>R44+S10</f>
        <v>0</v>
      </c>
      <c r="T44" s="355">
        <f>S44</f>
        <v>0</v>
      </c>
      <c r="U44" s="356">
        <f>S44</f>
        <v>0</v>
      </c>
      <c r="V44" s="357"/>
      <c r="W44" s="3"/>
    </row>
    <row r="45" spans="1:23" ht="14.25">
      <c r="A45" s="277">
        <v>2</v>
      </c>
      <c r="B45" s="278" t="str">
        <f aca="true" t="shared" si="12" ref="B45:B53">B11</f>
        <v>产品看护费</v>
      </c>
      <c r="C45" s="71"/>
      <c r="D45" s="169">
        <f t="shared" si="7"/>
        <v>600</v>
      </c>
      <c r="E45" s="157">
        <f t="shared" si="8"/>
        <v>600</v>
      </c>
      <c r="F45" s="157">
        <f t="shared" si="8"/>
        <v>600</v>
      </c>
      <c r="G45" s="352">
        <f aca="true" t="shared" si="13" ref="G45:G72">F45</f>
        <v>600</v>
      </c>
      <c r="H45" s="157">
        <f t="shared" si="9"/>
        <v>600</v>
      </c>
      <c r="I45" s="157">
        <f t="shared" si="8"/>
        <v>600</v>
      </c>
      <c r="J45" s="157">
        <f t="shared" si="8"/>
        <v>600</v>
      </c>
      <c r="K45" s="352">
        <f aca="true" t="shared" si="14" ref="K45:K71">J45</f>
        <v>600</v>
      </c>
      <c r="L45" s="352">
        <f aca="true" t="shared" si="15" ref="L45:L57">J45</f>
        <v>600</v>
      </c>
      <c r="M45" s="157">
        <f t="shared" si="10"/>
        <v>600</v>
      </c>
      <c r="N45" s="157">
        <f t="shared" si="8"/>
        <v>600</v>
      </c>
      <c r="O45" s="157">
        <f t="shared" si="8"/>
        <v>600</v>
      </c>
      <c r="P45" s="352">
        <f aca="true" t="shared" si="16" ref="P45:P72">O45</f>
        <v>600</v>
      </c>
      <c r="Q45" s="157">
        <f t="shared" si="11"/>
        <v>600</v>
      </c>
      <c r="R45" s="157">
        <f t="shared" si="8"/>
        <v>600</v>
      </c>
      <c r="S45" s="354">
        <f t="shared" si="8"/>
        <v>600</v>
      </c>
      <c r="T45" s="358">
        <f aca="true" t="shared" si="17" ref="T45:T72">S45</f>
        <v>600</v>
      </c>
      <c r="U45" s="359">
        <f aca="true" t="shared" si="18" ref="U45:U55">S45</f>
        <v>600</v>
      </c>
      <c r="V45" s="357"/>
      <c r="W45" s="3"/>
    </row>
    <row r="46" spans="1:23" ht="15">
      <c r="A46" s="277">
        <v>3</v>
      </c>
      <c r="B46" s="278" t="str">
        <f t="shared" si="12"/>
        <v>水电费</v>
      </c>
      <c r="C46" s="54"/>
      <c r="D46" s="169">
        <f t="shared" si="7"/>
        <v>0</v>
      </c>
      <c r="E46" s="157">
        <f t="shared" si="8"/>
        <v>0</v>
      </c>
      <c r="F46" s="157">
        <f t="shared" si="8"/>
        <v>0</v>
      </c>
      <c r="G46" s="352">
        <f t="shared" si="13"/>
        <v>0</v>
      </c>
      <c r="H46" s="157">
        <f t="shared" si="9"/>
        <v>0</v>
      </c>
      <c r="I46" s="157">
        <f t="shared" si="8"/>
        <v>0</v>
      </c>
      <c r="J46" s="157">
        <f t="shared" si="8"/>
        <v>0</v>
      </c>
      <c r="K46" s="352">
        <f t="shared" si="14"/>
        <v>0</v>
      </c>
      <c r="L46" s="352">
        <f t="shared" si="15"/>
        <v>0</v>
      </c>
      <c r="M46" s="157">
        <f t="shared" si="10"/>
        <v>0</v>
      </c>
      <c r="N46" s="157">
        <f t="shared" si="8"/>
        <v>0</v>
      </c>
      <c r="O46" s="157">
        <f t="shared" si="8"/>
        <v>0</v>
      </c>
      <c r="P46" s="352">
        <f t="shared" si="16"/>
        <v>0</v>
      </c>
      <c r="Q46" s="157">
        <f t="shared" si="11"/>
        <v>0</v>
      </c>
      <c r="R46" s="157">
        <f t="shared" si="8"/>
        <v>0</v>
      </c>
      <c r="S46" s="354">
        <f t="shared" si="8"/>
        <v>0</v>
      </c>
      <c r="T46" s="358">
        <f t="shared" si="17"/>
        <v>0</v>
      </c>
      <c r="U46" s="359">
        <f t="shared" si="18"/>
        <v>0</v>
      </c>
      <c r="V46" s="357"/>
      <c r="W46" s="3"/>
    </row>
    <row r="47" spans="1:23" ht="15">
      <c r="A47" s="277">
        <v>4</v>
      </c>
      <c r="B47" s="278" t="str">
        <f t="shared" si="12"/>
        <v>采暖费</v>
      </c>
      <c r="C47" s="54"/>
      <c r="D47" s="169">
        <f t="shared" si="7"/>
        <v>0</v>
      </c>
      <c r="E47" s="157">
        <f t="shared" si="8"/>
        <v>0</v>
      </c>
      <c r="F47" s="157">
        <f t="shared" si="8"/>
        <v>0</v>
      </c>
      <c r="G47" s="352">
        <f t="shared" si="13"/>
        <v>0</v>
      </c>
      <c r="H47" s="157">
        <f t="shared" si="9"/>
        <v>0</v>
      </c>
      <c r="I47" s="157">
        <f t="shared" si="8"/>
        <v>0</v>
      </c>
      <c r="J47" s="157">
        <f t="shared" si="8"/>
        <v>0</v>
      </c>
      <c r="K47" s="352">
        <f t="shared" si="14"/>
        <v>0</v>
      </c>
      <c r="L47" s="352">
        <f t="shared" si="15"/>
        <v>0</v>
      </c>
      <c r="M47" s="157">
        <f t="shared" si="10"/>
        <v>0</v>
      </c>
      <c r="N47" s="157">
        <f t="shared" si="8"/>
        <v>0</v>
      </c>
      <c r="O47" s="157">
        <f t="shared" si="8"/>
        <v>0</v>
      </c>
      <c r="P47" s="352">
        <f t="shared" si="16"/>
        <v>0</v>
      </c>
      <c r="Q47" s="157">
        <f t="shared" si="11"/>
        <v>0</v>
      </c>
      <c r="R47" s="157">
        <f t="shared" si="8"/>
        <v>0</v>
      </c>
      <c r="S47" s="354">
        <f t="shared" si="8"/>
        <v>0</v>
      </c>
      <c r="T47" s="358">
        <f t="shared" si="17"/>
        <v>0</v>
      </c>
      <c r="U47" s="359">
        <f t="shared" si="18"/>
        <v>0</v>
      </c>
      <c r="V47" s="357"/>
      <c r="W47" s="3"/>
    </row>
    <row r="48" spans="1:23" ht="15">
      <c r="A48" s="277">
        <v>5</v>
      </c>
      <c r="B48" s="278" t="str">
        <f t="shared" si="12"/>
        <v>展览宣传费</v>
      </c>
      <c r="C48" s="54"/>
      <c r="D48" s="169">
        <f t="shared" si="7"/>
        <v>0</v>
      </c>
      <c r="E48" s="157">
        <f t="shared" si="8"/>
        <v>0</v>
      </c>
      <c r="F48" s="157">
        <f t="shared" si="8"/>
        <v>0</v>
      </c>
      <c r="G48" s="352">
        <f t="shared" si="13"/>
        <v>0</v>
      </c>
      <c r="H48" s="157">
        <f t="shared" si="9"/>
        <v>0</v>
      </c>
      <c r="I48" s="157">
        <f t="shared" si="8"/>
        <v>0</v>
      </c>
      <c r="J48" s="157">
        <f t="shared" si="8"/>
        <v>0</v>
      </c>
      <c r="K48" s="352">
        <f t="shared" si="14"/>
        <v>0</v>
      </c>
      <c r="L48" s="352">
        <f t="shared" si="15"/>
        <v>0</v>
      </c>
      <c r="M48" s="157">
        <f t="shared" si="10"/>
        <v>0</v>
      </c>
      <c r="N48" s="157">
        <f t="shared" si="8"/>
        <v>0</v>
      </c>
      <c r="O48" s="157">
        <f t="shared" si="8"/>
        <v>0</v>
      </c>
      <c r="P48" s="352">
        <f t="shared" si="16"/>
        <v>0</v>
      </c>
      <c r="Q48" s="157">
        <f t="shared" si="11"/>
        <v>0</v>
      </c>
      <c r="R48" s="157">
        <f t="shared" si="8"/>
        <v>0</v>
      </c>
      <c r="S48" s="354">
        <f t="shared" si="8"/>
        <v>0</v>
      </c>
      <c r="T48" s="358">
        <f t="shared" si="17"/>
        <v>0</v>
      </c>
      <c r="U48" s="359">
        <f t="shared" si="18"/>
        <v>0</v>
      </c>
      <c r="V48" s="357"/>
      <c r="W48" s="3"/>
    </row>
    <row r="49" spans="1:23" ht="15">
      <c r="A49" s="277">
        <v>6</v>
      </c>
      <c r="B49" s="278" t="str">
        <f t="shared" si="12"/>
        <v>广告费</v>
      </c>
      <c r="C49" s="54"/>
      <c r="D49" s="169">
        <f t="shared" si="7"/>
        <v>0</v>
      </c>
      <c r="E49" s="157">
        <f t="shared" si="8"/>
        <v>0</v>
      </c>
      <c r="F49" s="157">
        <f t="shared" si="8"/>
        <v>0</v>
      </c>
      <c r="G49" s="352">
        <f t="shared" si="13"/>
        <v>0</v>
      </c>
      <c r="H49" s="157">
        <f t="shared" si="9"/>
        <v>0</v>
      </c>
      <c r="I49" s="157">
        <f t="shared" si="8"/>
        <v>0</v>
      </c>
      <c r="J49" s="157">
        <f t="shared" si="8"/>
        <v>0</v>
      </c>
      <c r="K49" s="352">
        <f t="shared" si="14"/>
        <v>0</v>
      </c>
      <c r="L49" s="352">
        <f t="shared" si="15"/>
        <v>0</v>
      </c>
      <c r="M49" s="157">
        <f t="shared" si="10"/>
        <v>0</v>
      </c>
      <c r="N49" s="157">
        <f t="shared" si="8"/>
        <v>0</v>
      </c>
      <c r="O49" s="157">
        <f t="shared" si="8"/>
        <v>0</v>
      </c>
      <c r="P49" s="352">
        <f t="shared" si="16"/>
        <v>0</v>
      </c>
      <c r="Q49" s="157">
        <f t="shared" si="11"/>
        <v>0</v>
      </c>
      <c r="R49" s="157">
        <f t="shared" si="8"/>
        <v>0</v>
      </c>
      <c r="S49" s="354">
        <f t="shared" si="8"/>
        <v>0</v>
      </c>
      <c r="T49" s="358">
        <f t="shared" si="17"/>
        <v>0</v>
      </c>
      <c r="U49" s="359">
        <f t="shared" si="18"/>
        <v>0</v>
      </c>
      <c r="V49" s="357"/>
      <c r="W49" s="3"/>
    </row>
    <row r="50" spans="1:23" ht="15">
      <c r="A50" s="277">
        <v>7</v>
      </c>
      <c r="B50" s="278" t="str">
        <f t="shared" si="12"/>
        <v>工资</v>
      </c>
      <c r="C50" s="54"/>
      <c r="D50" s="169">
        <f t="shared" si="7"/>
        <v>0</v>
      </c>
      <c r="E50" s="157">
        <f t="shared" si="8"/>
        <v>0</v>
      </c>
      <c r="F50" s="157">
        <f t="shared" si="8"/>
        <v>0</v>
      </c>
      <c r="G50" s="352">
        <f t="shared" si="13"/>
        <v>0</v>
      </c>
      <c r="H50" s="157">
        <f t="shared" si="9"/>
        <v>0</v>
      </c>
      <c r="I50" s="157">
        <f t="shared" si="8"/>
        <v>0</v>
      </c>
      <c r="J50" s="157">
        <f t="shared" si="8"/>
        <v>0</v>
      </c>
      <c r="K50" s="352">
        <f t="shared" si="14"/>
        <v>0</v>
      </c>
      <c r="L50" s="352">
        <f t="shared" si="15"/>
        <v>0</v>
      </c>
      <c r="M50" s="157">
        <f t="shared" si="10"/>
        <v>0</v>
      </c>
      <c r="N50" s="157">
        <f t="shared" si="8"/>
        <v>0</v>
      </c>
      <c r="O50" s="157">
        <f t="shared" si="8"/>
        <v>0</v>
      </c>
      <c r="P50" s="352">
        <f t="shared" si="16"/>
        <v>0</v>
      </c>
      <c r="Q50" s="157">
        <f t="shared" si="11"/>
        <v>0</v>
      </c>
      <c r="R50" s="157">
        <f t="shared" si="8"/>
        <v>0</v>
      </c>
      <c r="S50" s="354">
        <f t="shared" si="8"/>
        <v>0</v>
      </c>
      <c r="T50" s="358">
        <f t="shared" si="17"/>
        <v>0</v>
      </c>
      <c r="U50" s="359">
        <f t="shared" si="18"/>
        <v>0</v>
      </c>
      <c r="V50" s="357"/>
      <c r="W50" s="3"/>
    </row>
    <row r="51" spans="1:23" ht="15">
      <c r="A51" s="277">
        <v>8</v>
      </c>
      <c r="B51" s="278" t="str">
        <f t="shared" si="12"/>
        <v>福利费</v>
      </c>
      <c r="C51" s="54"/>
      <c r="D51" s="162">
        <f t="shared" si="7"/>
        <v>0</v>
      </c>
      <c r="E51" s="163">
        <f t="shared" si="8"/>
        <v>0</v>
      </c>
      <c r="F51" s="163">
        <f t="shared" si="8"/>
        <v>0</v>
      </c>
      <c r="G51" s="352">
        <f t="shared" si="13"/>
        <v>0</v>
      </c>
      <c r="H51" s="163">
        <f t="shared" si="9"/>
        <v>0</v>
      </c>
      <c r="I51" s="163">
        <f t="shared" si="8"/>
        <v>0</v>
      </c>
      <c r="J51" s="163">
        <f t="shared" si="8"/>
        <v>0</v>
      </c>
      <c r="K51" s="352">
        <f t="shared" si="14"/>
        <v>0</v>
      </c>
      <c r="L51" s="352">
        <f t="shared" si="15"/>
        <v>0</v>
      </c>
      <c r="M51" s="163">
        <f t="shared" si="10"/>
        <v>0</v>
      </c>
      <c r="N51" s="163">
        <f t="shared" si="8"/>
        <v>0</v>
      </c>
      <c r="O51" s="163">
        <f t="shared" si="8"/>
        <v>0</v>
      </c>
      <c r="P51" s="352">
        <f t="shared" si="16"/>
        <v>0</v>
      </c>
      <c r="Q51" s="163">
        <f t="shared" si="11"/>
        <v>0</v>
      </c>
      <c r="R51" s="163">
        <f t="shared" si="8"/>
        <v>0</v>
      </c>
      <c r="S51" s="354">
        <f t="shared" si="8"/>
        <v>0</v>
      </c>
      <c r="T51" s="358">
        <f t="shared" si="17"/>
        <v>0</v>
      </c>
      <c r="U51" s="359">
        <f t="shared" si="18"/>
        <v>0</v>
      </c>
      <c r="V51" s="339"/>
      <c r="W51" s="3"/>
    </row>
    <row r="52" spans="1:23" ht="15" customHeight="1">
      <c r="A52" s="277">
        <v>9</v>
      </c>
      <c r="B52" s="278" t="str">
        <f t="shared" si="12"/>
        <v>业务费</v>
      </c>
      <c r="C52" s="71"/>
      <c r="D52" s="273">
        <f t="shared" si="7"/>
        <v>0</v>
      </c>
      <c r="E52" s="279">
        <f t="shared" si="8"/>
        <v>0</v>
      </c>
      <c r="F52" s="279">
        <f t="shared" si="8"/>
        <v>0</v>
      </c>
      <c r="G52" s="352">
        <f t="shared" si="13"/>
        <v>0</v>
      </c>
      <c r="H52" s="279">
        <f t="shared" si="9"/>
        <v>0</v>
      </c>
      <c r="I52" s="279">
        <f t="shared" si="8"/>
        <v>0</v>
      </c>
      <c r="J52" s="279">
        <f t="shared" si="8"/>
        <v>0</v>
      </c>
      <c r="K52" s="352">
        <f t="shared" si="14"/>
        <v>0</v>
      </c>
      <c r="L52" s="352">
        <f t="shared" si="15"/>
        <v>0</v>
      </c>
      <c r="M52" s="279">
        <f t="shared" si="10"/>
        <v>0</v>
      </c>
      <c r="N52" s="279">
        <f t="shared" si="8"/>
        <v>0</v>
      </c>
      <c r="O52" s="279">
        <f t="shared" si="8"/>
        <v>0</v>
      </c>
      <c r="P52" s="352">
        <f t="shared" si="16"/>
        <v>0</v>
      </c>
      <c r="Q52" s="279">
        <f t="shared" si="11"/>
        <v>0</v>
      </c>
      <c r="R52" s="279">
        <f t="shared" si="8"/>
        <v>0</v>
      </c>
      <c r="S52" s="354">
        <f t="shared" si="8"/>
        <v>0</v>
      </c>
      <c r="T52" s="358">
        <f t="shared" si="17"/>
        <v>0</v>
      </c>
      <c r="U52" s="359">
        <f t="shared" si="18"/>
        <v>0</v>
      </c>
      <c r="V52" s="360"/>
      <c r="W52" s="3"/>
    </row>
    <row r="53" spans="1:23" ht="14.25">
      <c r="A53" s="277">
        <v>10</v>
      </c>
      <c r="B53" s="278" t="str">
        <f t="shared" si="12"/>
        <v>其他</v>
      </c>
      <c r="C53" s="71"/>
      <c r="D53" s="162">
        <f t="shared" si="7"/>
        <v>0</v>
      </c>
      <c r="E53" s="163">
        <f t="shared" si="8"/>
        <v>0</v>
      </c>
      <c r="F53" s="163">
        <f t="shared" si="8"/>
        <v>0</v>
      </c>
      <c r="G53" s="352">
        <f t="shared" si="13"/>
        <v>0</v>
      </c>
      <c r="H53" s="163">
        <f t="shared" si="9"/>
        <v>0</v>
      </c>
      <c r="I53" s="163">
        <f t="shared" si="8"/>
        <v>0</v>
      </c>
      <c r="J53" s="163">
        <f t="shared" si="8"/>
        <v>0</v>
      </c>
      <c r="K53" s="352">
        <f t="shared" si="14"/>
        <v>0</v>
      </c>
      <c r="L53" s="352">
        <f t="shared" si="15"/>
        <v>0</v>
      </c>
      <c r="M53" s="163">
        <f t="shared" si="10"/>
        <v>0</v>
      </c>
      <c r="N53" s="163">
        <f t="shared" si="8"/>
        <v>0</v>
      </c>
      <c r="O53" s="163">
        <f t="shared" si="8"/>
        <v>0</v>
      </c>
      <c r="P53" s="352">
        <f t="shared" si="16"/>
        <v>0</v>
      </c>
      <c r="Q53" s="163">
        <f t="shared" si="11"/>
        <v>0</v>
      </c>
      <c r="R53" s="163">
        <f t="shared" si="8"/>
        <v>0</v>
      </c>
      <c r="S53" s="354">
        <f t="shared" si="8"/>
        <v>0</v>
      </c>
      <c r="T53" s="358">
        <f t="shared" si="17"/>
        <v>0</v>
      </c>
      <c r="U53" s="359">
        <f t="shared" si="18"/>
        <v>0</v>
      </c>
      <c r="V53" s="339"/>
      <c r="W53" s="3"/>
    </row>
    <row r="54" spans="1:23" ht="15">
      <c r="A54" s="277"/>
      <c r="B54" s="278"/>
      <c r="C54" s="54"/>
      <c r="D54" s="162">
        <f t="shared" si="7"/>
        <v>0</v>
      </c>
      <c r="E54" s="163">
        <f t="shared" si="8"/>
        <v>0</v>
      </c>
      <c r="F54" s="163">
        <f t="shared" si="8"/>
        <v>0</v>
      </c>
      <c r="G54" s="352">
        <f t="shared" si="13"/>
        <v>0</v>
      </c>
      <c r="H54" s="163">
        <f t="shared" si="9"/>
        <v>0</v>
      </c>
      <c r="I54" s="163">
        <f t="shared" si="8"/>
        <v>0</v>
      </c>
      <c r="J54" s="163">
        <f t="shared" si="8"/>
        <v>0</v>
      </c>
      <c r="K54" s="352">
        <f t="shared" si="14"/>
        <v>0</v>
      </c>
      <c r="L54" s="352">
        <f t="shared" si="15"/>
        <v>0</v>
      </c>
      <c r="M54" s="163">
        <f t="shared" si="10"/>
        <v>0</v>
      </c>
      <c r="N54" s="163">
        <f t="shared" si="8"/>
        <v>0</v>
      </c>
      <c r="O54" s="163">
        <f t="shared" si="8"/>
        <v>0</v>
      </c>
      <c r="P54" s="352">
        <f t="shared" si="16"/>
        <v>0</v>
      </c>
      <c r="Q54" s="163">
        <f t="shared" si="11"/>
        <v>0</v>
      </c>
      <c r="R54" s="163">
        <f t="shared" si="8"/>
        <v>0</v>
      </c>
      <c r="S54" s="354">
        <f t="shared" si="8"/>
        <v>0</v>
      </c>
      <c r="T54" s="358">
        <f t="shared" si="17"/>
        <v>0</v>
      </c>
      <c r="U54" s="359">
        <f t="shared" si="18"/>
        <v>0</v>
      </c>
      <c r="V54" s="339"/>
      <c r="W54" s="3"/>
    </row>
    <row r="55" spans="1:23" ht="15" hidden="1">
      <c r="A55" s="277"/>
      <c r="B55" s="278"/>
      <c r="C55" s="54"/>
      <c r="D55" s="162">
        <f t="shared" si="7"/>
        <v>0</v>
      </c>
      <c r="E55" s="163">
        <f t="shared" si="8"/>
        <v>0</v>
      </c>
      <c r="F55" s="163">
        <f t="shared" si="8"/>
        <v>0</v>
      </c>
      <c r="G55" s="352">
        <f t="shared" si="13"/>
        <v>0</v>
      </c>
      <c r="H55" s="163">
        <f t="shared" si="9"/>
        <v>0</v>
      </c>
      <c r="I55" s="163">
        <f t="shared" si="8"/>
        <v>0</v>
      </c>
      <c r="J55" s="163">
        <f t="shared" si="8"/>
        <v>0</v>
      </c>
      <c r="K55" s="352">
        <f t="shared" si="14"/>
        <v>0</v>
      </c>
      <c r="L55" s="352">
        <f t="shared" si="15"/>
        <v>0</v>
      </c>
      <c r="M55" s="163">
        <f t="shared" si="10"/>
        <v>0</v>
      </c>
      <c r="N55" s="163">
        <f t="shared" si="8"/>
        <v>0</v>
      </c>
      <c r="O55" s="163">
        <f t="shared" si="8"/>
        <v>0</v>
      </c>
      <c r="P55" s="352">
        <f t="shared" si="16"/>
        <v>0</v>
      </c>
      <c r="Q55" s="163">
        <f t="shared" si="11"/>
        <v>0</v>
      </c>
      <c r="R55" s="163">
        <f t="shared" si="8"/>
        <v>0</v>
      </c>
      <c r="S55" s="354">
        <f t="shared" si="8"/>
        <v>0</v>
      </c>
      <c r="T55" s="358">
        <f t="shared" si="17"/>
        <v>0</v>
      </c>
      <c r="U55" s="359">
        <f t="shared" si="18"/>
        <v>0</v>
      </c>
      <c r="V55" s="339"/>
      <c r="W55" s="3"/>
    </row>
    <row r="56" spans="1:23" ht="15" hidden="1">
      <c r="A56" s="277"/>
      <c r="B56" s="278"/>
      <c r="C56" s="54"/>
      <c r="D56" s="162">
        <f t="shared" si="7"/>
        <v>0</v>
      </c>
      <c r="E56" s="163">
        <f t="shared" si="8"/>
        <v>0</v>
      </c>
      <c r="F56" s="163">
        <f t="shared" si="8"/>
        <v>0</v>
      </c>
      <c r="G56" s="352">
        <f t="shared" si="13"/>
        <v>0</v>
      </c>
      <c r="H56" s="163">
        <f t="shared" si="9"/>
        <v>0</v>
      </c>
      <c r="I56" s="163">
        <f t="shared" si="8"/>
        <v>0</v>
      </c>
      <c r="J56" s="163">
        <f t="shared" si="8"/>
        <v>0</v>
      </c>
      <c r="K56" s="352">
        <f t="shared" si="14"/>
        <v>0</v>
      </c>
      <c r="L56" s="352">
        <f t="shared" si="15"/>
        <v>0</v>
      </c>
      <c r="M56" s="163">
        <f t="shared" si="10"/>
        <v>0</v>
      </c>
      <c r="N56" s="163">
        <f t="shared" si="8"/>
        <v>0</v>
      </c>
      <c r="O56" s="163">
        <f t="shared" si="8"/>
        <v>0</v>
      </c>
      <c r="P56" s="352">
        <f t="shared" si="16"/>
        <v>0</v>
      </c>
      <c r="Q56" s="163">
        <f t="shared" si="11"/>
        <v>0</v>
      </c>
      <c r="R56" s="163">
        <f t="shared" si="8"/>
        <v>0</v>
      </c>
      <c r="S56" s="354">
        <f t="shared" si="8"/>
        <v>0</v>
      </c>
      <c r="T56" s="358">
        <f t="shared" si="17"/>
        <v>0</v>
      </c>
      <c r="U56" s="359">
        <f aca="true" t="shared" si="19" ref="U56:U72">S56</f>
        <v>0</v>
      </c>
      <c r="V56" s="339"/>
      <c r="W56" s="3"/>
    </row>
    <row r="57" spans="1:23" ht="15" hidden="1">
      <c r="A57" s="277"/>
      <c r="B57" s="278"/>
      <c r="C57" s="54"/>
      <c r="D57" s="162">
        <f t="shared" si="7"/>
        <v>0</v>
      </c>
      <c r="E57" s="163">
        <f t="shared" si="8"/>
        <v>0</v>
      </c>
      <c r="F57" s="163">
        <f t="shared" si="8"/>
        <v>0</v>
      </c>
      <c r="G57" s="352">
        <f t="shared" si="13"/>
        <v>0</v>
      </c>
      <c r="H57" s="163">
        <f t="shared" si="9"/>
        <v>0</v>
      </c>
      <c r="I57" s="163">
        <f t="shared" si="8"/>
        <v>0</v>
      </c>
      <c r="J57" s="163">
        <f t="shared" si="8"/>
        <v>0</v>
      </c>
      <c r="K57" s="352">
        <f t="shared" si="14"/>
        <v>0</v>
      </c>
      <c r="L57" s="352">
        <f t="shared" si="15"/>
        <v>0</v>
      </c>
      <c r="M57" s="163">
        <f t="shared" si="10"/>
        <v>0</v>
      </c>
      <c r="N57" s="163">
        <f t="shared" si="8"/>
        <v>0</v>
      </c>
      <c r="O57" s="163">
        <f t="shared" si="8"/>
        <v>0</v>
      </c>
      <c r="P57" s="352">
        <f t="shared" si="16"/>
        <v>0</v>
      </c>
      <c r="Q57" s="163">
        <f t="shared" si="11"/>
        <v>0</v>
      </c>
      <c r="R57" s="163">
        <f t="shared" si="8"/>
        <v>0</v>
      </c>
      <c r="S57" s="354">
        <f>R57+S23</f>
        <v>0</v>
      </c>
      <c r="T57" s="358">
        <f t="shared" si="17"/>
        <v>0</v>
      </c>
      <c r="U57" s="359">
        <f t="shared" si="19"/>
        <v>0</v>
      </c>
      <c r="V57" s="339"/>
      <c r="W57" s="3"/>
    </row>
    <row r="58" spans="1:23" ht="15" hidden="1">
      <c r="A58" s="277"/>
      <c r="B58" s="278"/>
      <c r="C58" s="54"/>
      <c r="D58" s="162">
        <f t="shared" si="7"/>
        <v>0</v>
      </c>
      <c r="E58" s="157">
        <f t="shared" si="8"/>
        <v>0</v>
      </c>
      <c r="F58" s="157">
        <f t="shared" si="8"/>
        <v>0</v>
      </c>
      <c r="G58" s="352">
        <f t="shared" si="13"/>
        <v>0</v>
      </c>
      <c r="H58" s="157">
        <f t="shared" si="9"/>
        <v>0</v>
      </c>
      <c r="I58" s="157">
        <f t="shared" si="8"/>
        <v>0</v>
      </c>
      <c r="J58" s="157">
        <f t="shared" si="8"/>
        <v>0</v>
      </c>
      <c r="K58" s="352">
        <f t="shared" si="14"/>
        <v>0</v>
      </c>
      <c r="L58" s="352">
        <f aca="true" t="shared" si="20" ref="L58:L71">J58</f>
        <v>0</v>
      </c>
      <c r="M58" s="157">
        <f t="shared" si="10"/>
        <v>0</v>
      </c>
      <c r="N58" s="157">
        <f t="shared" si="8"/>
        <v>0</v>
      </c>
      <c r="O58" s="157">
        <f t="shared" si="8"/>
        <v>0</v>
      </c>
      <c r="P58" s="352">
        <f t="shared" si="16"/>
        <v>0</v>
      </c>
      <c r="Q58" s="157">
        <f t="shared" si="11"/>
        <v>0</v>
      </c>
      <c r="R58" s="157">
        <f t="shared" si="8"/>
        <v>0</v>
      </c>
      <c r="S58" s="354">
        <f>R58+S24</f>
        <v>0</v>
      </c>
      <c r="T58" s="358">
        <f t="shared" si="17"/>
        <v>0</v>
      </c>
      <c r="U58" s="359">
        <f t="shared" si="19"/>
        <v>0</v>
      </c>
      <c r="V58" s="357"/>
      <c r="W58" s="3"/>
    </row>
    <row r="59" spans="1:23" ht="15" hidden="1">
      <c r="A59" s="277"/>
      <c r="B59" s="278"/>
      <c r="C59" s="54"/>
      <c r="D59" s="300">
        <f t="shared" si="7"/>
        <v>0</v>
      </c>
      <c r="E59" s="301">
        <f t="shared" si="8"/>
        <v>0</v>
      </c>
      <c r="F59" s="301">
        <f t="shared" si="8"/>
        <v>0</v>
      </c>
      <c r="G59" s="352">
        <f t="shared" si="13"/>
        <v>0</v>
      </c>
      <c r="H59" s="301">
        <f t="shared" si="9"/>
        <v>0</v>
      </c>
      <c r="I59" s="301">
        <f t="shared" si="8"/>
        <v>0</v>
      </c>
      <c r="J59" s="301">
        <f t="shared" si="8"/>
        <v>0</v>
      </c>
      <c r="K59" s="352">
        <f t="shared" si="14"/>
        <v>0</v>
      </c>
      <c r="L59" s="352">
        <f t="shared" si="20"/>
        <v>0</v>
      </c>
      <c r="M59" s="301">
        <f t="shared" si="10"/>
        <v>0</v>
      </c>
      <c r="N59" s="301">
        <f t="shared" si="8"/>
        <v>0</v>
      </c>
      <c r="O59" s="301">
        <f t="shared" si="8"/>
        <v>0</v>
      </c>
      <c r="P59" s="352">
        <f t="shared" si="16"/>
        <v>0</v>
      </c>
      <c r="Q59" s="301">
        <f t="shared" si="11"/>
        <v>0</v>
      </c>
      <c r="R59" s="301">
        <f t="shared" si="8"/>
        <v>0</v>
      </c>
      <c r="S59" s="354">
        <f>R59+S25</f>
        <v>0</v>
      </c>
      <c r="T59" s="358">
        <f t="shared" si="17"/>
        <v>0</v>
      </c>
      <c r="U59" s="359">
        <f t="shared" si="19"/>
        <v>0</v>
      </c>
      <c r="V59" s="361"/>
      <c r="W59" s="3"/>
    </row>
    <row r="60" spans="1:23" ht="15" hidden="1">
      <c r="A60" s="277"/>
      <c r="B60" s="278"/>
      <c r="C60" s="54"/>
      <c r="D60" s="300">
        <f t="shared" si="7"/>
        <v>0</v>
      </c>
      <c r="E60" s="301">
        <f aca="true" t="shared" si="21" ref="E60:S71">D60+E26</f>
        <v>0</v>
      </c>
      <c r="F60" s="301">
        <f t="shared" si="21"/>
        <v>0</v>
      </c>
      <c r="G60" s="352">
        <f>F60</f>
        <v>0</v>
      </c>
      <c r="H60" s="301">
        <f t="shared" si="9"/>
        <v>0</v>
      </c>
      <c r="I60" s="301">
        <f t="shared" si="21"/>
        <v>0</v>
      </c>
      <c r="J60" s="301">
        <f t="shared" si="21"/>
        <v>0</v>
      </c>
      <c r="K60" s="352">
        <f t="shared" si="14"/>
        <v>0</v>
      </c>
      <c r="L60" s="352">
        <f t="shared" si="20"/>
        <v>0</v>
      </c>
      <c r="M60" s="301">
        <f t="shared" si="10"/>
        <v>0</v>
      </c>
      <c r="N60" s="301">
        <f t="shared" si="21"/>
        <v>0</v>
      </c>
      <c r="O60" s="301">
        <f t="shared" si="21"/>
        <v>0</v>
      </c>
      <c r="P60" s="352">
        <f t="shared" si="16"/>
        <v>0</v>
      </c>
      <c r="Q60" s="301">
        <f t="shared" si="11"/>
        <v>0</v>
      </c>
      <c r="R60" s="301">
        <f t="shared" si="21"/>
        <v>0</v>
      </c>
      <c r="S60" s="354">
        <f t="shared" si="21"/>
        <v>0</v>
      </c>
      <c r="T60" s="358">
        <f t="shared" si="17"/>
        <v>0</v>
      </c>
      <c r="U60" s="359">
        <f t="shared" si="19"/>
        <v>0</v>
      </c>
      <c r="V60" s="361"/>
      <c r="W60" s="3"/>
    </row>
    <row r="61" spans="1:23" ht="15" hidden="1">
      <c r="A61" s="277"/>
      <c r="B61" s="278"/>
      <c r="C61" s="54"/>
      <c r="D61" s="300">
        <f t="shared" si="7"/>
        <v>0</v>
      </c>
      <c r="E61" s="301">
        <f t="shared" si="21"/>
        <v>0</v>
      </c>
      <c r="F61" s="301">
        <f t="shared" si="21"/>
        <v>0</v>
      </c>
      <c r="G61" s="352">
        <f t="shared" si="13"/>
        <v>0</v>
      </c>
      <c r="H61" s="301">
        <f t="shared" si="9"/>
        <v>0</v>
      </c>
      <c r="I61" s="301">
        <f t="shared" si="21"/>
        <v>0</v>
      </c>
      <c r="J61" s="301">
        <f t="shared" si="21"/>
        <v>0</v>
      </c>
      <c r="K61" s="352">
        <f t="shared" si="14"/>
        <v>0</v>
      </c>
      <c r="L61" s="352">
        <f t="shared" si="20"/>
        <v>0</v>
      </c>
      <c r="M61" s="301">
        <f t="shared" si="10"/>
        <v>0</v>
      </c>
      <c r="N61" s="301">
        <f t="shared" si="21"/>
        <v>0</v>
      </c>
      <c r="O61" s="301">
        <f t="shared" si="21"/>
        <v>0</v>
      </c>
      <c r="P61" s="352">
        <f t="shared" si="16"/>
        <v>0</v>
      </c>
      <c r="Q61" s="301">
        <f t="shared" si="11"/>
        <v>0</v>
      </c>
      <c r="R61" s="301">
        <f t="shared" si="21"/>
        <v>0</v>
      </c>
      <c r="S61" s="354">
        <f t="shared" si="21"/>
        <v>0</v>
      </c>
      <c r="T61" s="358">
        <f t="shared" si="17"/>
        <v>0</v>
      </c>
      <c r="U61" s="359">
        <f t="shared" si="19"/>
        <v>0</v>
      </c>
      <c r="V61" s="361"/>
      <c r="W61" s="3"/>
    </row>
    <row r="62" spans="1:23" ht="14.25" hidden="1">
      <c r="A62" s="277"/>
      <c r="B62" s="278"/>
      <c r="C62" s="71"/>
      <c r="D62" s="303">
        <f t="shared" si="7"/>
        <v>0</v>
      </c>
      <c r="E62" s="301">
        <f t="shared" si="21"/>
        <v>0</v>
      </c>
      <c r="F62" s="301">
        <f t="shared" si="21"/>
        <v>0</v>
      </c>
      <c r="G62" s="352">
        <f t="shared" si="13"/>
        <v>0</v>
      </c>
      <c r="H62" s="301">
        <f t="shared" si="9"/>
        <v>0</v>
      </c>
      <c r="I62" s="301">
        <f t="shared" si="21"/>
        <v>0</v>
      </c>
      <c r="J62" s="301">
        <f t="shared" si="21"/>
        <v>0</v>
      </c>
      <c r="K62" s="352">
        <f t="shared" si="14"/>
        <v>0</v>
      </c>
      <c r="L62" s="352">
        <f t="shared" si="20"/>
        <v>0</v>
      </c>
      <c r="M62" s="301">
        <f t="shared" si="10"/>
        <v>0</v>
      </c>
      <c r="N62" s="301">
        <f t="shared" si="21"/>
        <v>0</v>
      </c>
      <c r="O62" s="301">
        <f t="shared" si="21"/>
        <v>0</v>
      </c>
      <c r="P62" s="352">
        <f t="shared" si="16"/>
        <v>0</v>
      </c>
      <c r="Q62" s="301">
        <f t="shared" si="11"/>
        <v>0</v>
      </c>
      <c r="R62" s="301">
        <f t="shared" si="21"/>
        <v>0</v>
      </c>
      <c r="S62" s="354">
        <f t="shared" si="21"/>
        <v>0</v>
      </c>
      <c r="T62" s="358">
        <f t="shared" si="17"/>
        <v>0</v>
      </c>
      <c r="U62" s="359">
        <f t="shared" si="19"/>
        <v>0</v>
      </c>
      <c r="V62" s="361"/>
      <c r="W62" s="3"/>
    </row>
    <row r="63" spans="1:23" ht="14.25" hidden="1">
      <c r="A63" s="277"/>
      <c r="B63" s="278"/>
      <c r="C63" s="71"/>
      <c r="D63" s="169">
        <f t="shared" si="7"/>
        <v>0</v>
      </c>
      <c r="E63" s="157">
        <f t="shared" si="21"/>
        <v>0</v>
      </c>
      <c r="F63" s="157">
        <f t="shared" si="21"/>
        <v>0</v>
      </c>
      <c r="G63" s="352">
        <f t="shared" si="13"/>
        <v>0</v>
      </c>
      <c r="H63" s="157">
        <f t="shared" si="9"/>
        <v>0</v>
      </c>
      <c r="I63" s="157">
        <f t="shared" si="21"/>
        <v>0</v>
      </c>
      <c r="J63" s="157">
        <f t="shared" si="21"/>
        <v>0</v>
      </c>
      <c r="K63" s="352">
        <f t="shared" si="14"/>
        <v>0</v>
      </c>
      <c r="L63" s="352">
        <f t="shared" si="20"/>
        <v>0</v>
      </c>
      <c r="M63" s="157">
        <f t="shared" si="10"/>
        <v>0</v>
      </c>
      <c r="N63" s="157">
        <f t="shared" si="21"/>
        <v>0</v>
      </c>
      <c r="O63" s="157">
        <f t="shared" si="21"/>
        <v>0</v>
      </c>
      <c r="P63" s="352">
        <f t="shared" si="16"/>
        <v>0</v>
      </c>
      <c r="Q63" s="157">
        <f t="shared" si="11"/>
        <v>0</v>
      </c>
      <c r="R63" s="157">
        <f t="shared" si="21"/>
        <v>0</v>
      </c>
      <c r="S63" s="354">
        <f t="shared" si="21"/>
        <v>0</v>
      </c>
      <c r="T63" s="358">
        <f t="shared" si="17"/>
        <v>0</v>
      </c>
      <c r="U63" s="359">
        <f t="shared" si="19"/>
        <v>0</v>
      </c>
      <c r="V63" s="357"/>
      <c r="W63" s="3"/>
    </row>
    <row r="64" spans="1:23" ht="14.25" hidden="1">
      <c r="A64" s="277"/>
      <c r="B64" s="278"/>
      <c r="C64" s="71"/>
      <c r="D64" s="169">
        <f t="shared" si="7"/>
        <v>0</v>
      </c>
      <c r="E64" s="157">
        <f t="shared" si="21"/>
        <v>0</v>
      </c>
      <c r="F64" s="157">
        <f t="shared" si="21"/>
        <v>0</v>
      </c>
      <c r="G64" s="352">
        <f t="shared" si="13"/>
        <v>0</v>
      </c>
      <c r="H64" s="157">
        <f t="shared" si="9"/>
        <v>0</v>
      </c>
      <c r="I64" s="157">
        <f t="shared" si="21"/>
        <v>0</v>
      </c>
      <c r="J64" s="157">
        <f t="shared" si="21"/>
        <v>0</v>
      </c>
      <c r="K64" s="352">
        <f t="shared" si="14"/>
        <v>0</v>
      </c>
      <c r="L64" s="352">
        <f t="shared" si="20"/>
        <v>0</v>
      </c>
      <c r="M64" s="157">
        <f t="shared" si="10"/>
        <v>0</v>
      </c>
      <c r="N64" s="157">
        <f t="shared" si="21"/>
        <v>0</v>
      </c>
      <c r="O64" s="157">
        <f t="shared" si="21"/>
        <v>0</v>
      </c>
      <c r="P64" s="352">
        <f t="shared" si="16"/>
        <v>0</v>
      </c>
      <c r="Q64" s="157">
        <f t="shared" si="11"/>
        <v>0</v>
      </c>
      <c r="R64" s="157">
        <f t="shared" si="21"/>
        <v>0</v>
      </c>
      <c r="S64" s="354">
        <f t="shared" si="21"/>
        <v>0</v>
      </c>
      <c r="T64" s="358">
        <f t="shared" si="17"/>
        <v>0</v>
      </c>
      <c r="U64" s="359">
        <f t="shared" si="19"/>
        <v>0</v>
      </c>
      <c r="V64" s="357"/>
      <c r="W64" s="3"/>
    </row>
    <row r="65" spans="1:23" ht="14.25" hidden="1">
      <c r="A65" s="277"/>
      <c r="B65" s="278"/>
      <c r="C65" s="71"/>
      <c r="D65" s="304">
        <f t="shared" si="7"/>
        <v>0</v>
      </c>
      <c r="E65" s="305">
        <f t="shared" si="21"/>
        <v>0</v>
      </c>
      <c r="F65" s="305">
        <f t="shared" si="21"/>
        <v>0</v>
      </c>
      <c r="G65" s="352">
        <f t="shared" si="13"/>
        <v>0</v>
      </c>
      <c r="H65" s="305">
        <f t="shared" si="9"/>
        <v>0</v>
      </c>
      <c r="I65" s="305">
        <f t="shared" si="21"/>
        <v>0</v>
      </c>
      <c r="J65" s="305">
        <f t="shared" si="21"/>
        <v>0</v>
      </c>
      <c r="K65" s="352">
        <f t="shared" si="14"/>
        <v>0</v>
      </c>
      <c r="L65" s="352">
        <f t="shared" si="20"/>
        <v>0</v>
      </c>
      <c r="M65" s="305">
        <f t="shared" si="10"/>
        <v>0</v>
      </c>
      <c r="N65" s="305">
        <f t="shared" si="21"/>
        <v>0</v>
      </c>
      <c r="O65" s="305">
        <f t="shared" si="21"/>
        <v>0</v>
      </c>
      <c r="P65" s="352">
        <f t="shared" si="16"/>
        <v>0</v>
      </c>
      <c r="Q65" s="305">
        <f t="shared" si="11"/>
        <v>0</v>
      </c>
      <c r="R65" s="305">
        <f t="shared" si="21"/>
        <v>0</v>
      </c>
      <c r="S65" s="354">
        <f t="shared" si="21"/>
        <v>0</v>
      </c>
      <c r="T65" s="358">
        <f t="shared" si="17"/>
        <v>0</v>
      </c>
      <c r="U65" s="359">
        <f t="shared" si="19"/>
        <v>0</v>
      </c>
      <c r="V65" s="362"/>
      <c r="W65" s="3"/>
    </row>
    <row r="66" spans="1:23" ht="14.25" hidden="1">
      <c r="A66" s="277"/>
      <c r="B66" s="278"/>
      <c r="C66" s="71"/>
      <c r="D66" s="169">
        <f t="shared" si="7"/>
        <v>0</v>
      </c>
      <c r="E66" s="307">
        <f t="shared" si="21"/>
        <v>0</v>
      </c>
      <c r="F66" s="307">
        <f t="shared" si="21"/>
        <v>0</v>
      </c>
      <c r="G66" s="352">
        <f t="shared" si="13"/>
        <v>0</v>
      </c>
      <c r="H66" s="307">
        <f t="shared" si="9"/>
        <v>0</v>
      </c>
      <c r="I66" s="307">
        <f t="shared" si="21"/>
        <v>0</v>
      </c>
      <c r="J66" s="307">
        <f t="shared" si="21"/>
        <v>0</v>
      </c>
      <c r="K66" s="352">
        <f t="shared" si="14"/>
        <v>0</v>
      </c>
      <c r="L66" s="352">
        <f t="shared" si="20"/>
        <v>0</v>
      </c>
      <c r="M66" s="307">
        <f t="shared" si="10"/>
        <v>0</v>
      </c>
      <c r="N66" s="307">
        <f t="shared" si="21"/>
        <v>0</v>
      </c>
      <c r="O66" s="307">
        <f t="shared" si="21"/>
        <v>0</v>
      </c>
      <c r="P66" s="352">
        <f t="shared" si="16"/>
        <v>0</v>
      </c>
      <c r="Q66" s="307">
        <f t="shared" si="11"/>
        <v>0</v>
      </c>
      <c r="R66" s="307">
        <f t="shared" si="21"/>
        <v>0</v>
      </c>
      <c r="S66" s="354">
        <f t="shared" si="21"/>
        <v>0</v>
      </c>
      <c r="T66" s="358">
        <f t="shared" si="17"/>
        <v>0</v>
      </c>
      <c r="U66" s="359">
        <f t="shared" si="19"/>
        <v>0</v>
      </c>
      <c r="V66" s="363"/>
      <c r="W66" s="3"/>
    </row>
    <row r="67" spans="1:23" ht="15" hidden="1">
      <c r="A67" s="277"/>
      <c r="B67" s="278"/>
      <c r="C67" s="54"/>
      <c r="D67" s="169">
        <f t="shared" si="7"/>
        <v>0</v>
      </c>
      <c r="E67" s="157">
        <f t="shared" si="21"/>
        <v>0</v>
      </c>
      <c r="F67" s="157">
        <f t="shared" si="21"/>
        <v>0</v>
      </c>
      <c r="G67" s="352">
        <f t="shared" si="13"/>
        <v>0</v>
      </c>
      <c r="H67" s="157">
        <f t="shared" si="9"/>
        <v>0</v>
      </c>
      <c r="I67" s="157">
        <f t="shared" si="21"/>
        <v>0</v>
      </c>
      <c r="J67" s="157">
        <f t="shared" si="21"/>
        <v>0</v>
      </c>
      <c r="K67" s="352">
        <f t="shared" si="14"/>
        <v>0</v>
      </c>
      <c r="L67" s="352">
        <f t="shared" si="20"/>
        <v>0</v>
      </c>
      <c r="M67" s="157">
        <f t="shared" si="10"/>
        <v>0</v>
      </c>
      <c r="N67" s="157">
        <f t="shared" si="21"/>
        <v>0</v>
      </c>
      <c r="O67" s="157">
        <f t="shared" si="21"/>
        <v>0</v>
      </c>
      <c r="P67" s="352">
        <f t="shared" si="16"/>
        <v>0</v>
      </c>
      <c r="Q67" s="157">
        <f t="shared" si="11"/>
        <v>0</v>
      </c>
      <c r="R67" s="157">
        <f t="shared" si="21"/>
        <v>0</v>
      </c>
      <c r="S67" s="354">
        <f t="shared" si="21"/>
        <v>0</v>
      </c>
      <c r="T67" s="358">
        <f t="shared" si="17"/>
        <v>0</v>
      </c>
      <c r="U67" s="359">
        <f t="shared" si="19"/>
        <v>0</v>
      </c>
      <c r="V67" s="357"/>
      <c r="W67" s="3"/>
    </row>
    <row r="68" spans="1:23" ht="14.25" hidden="1">
      <c r="A68" s="277"/>
      <c r="B68" s="280"/>
      <c r="C68" s="71"/>
      <c r="D68" s="169">
        <f t="shared" si="7"/>
        <v>0</v>
      </c>
      <c r="E68" s="307">
        <f t="shared" si="21"/>
        <v>0</v>
      </c>
      <c r="F68" s="307">
        <f t="shared" si="21"/>
        <v>0</v>
      </c>
      <c r="G68" s="352">
        <f t="shared" si="13"/>
        <v>0</v>
      </c>
      <c r="H68" s="307">
        <f t="shared" si="9"/>
        <v>0</v>
      </c>
      <c r="I68" s="307">
        <f t="shared" si="21"/>
        <v>0</v>
      </c>
      <c r="J68" s="307">
        <f t="shared" si="21"/>
        <v>0</v>
      </c>
      <c r="K68" s="352">
        <f t="shared" si="14"/>
        <v>0</v>
      </c>
      <c r="L68" s="352">
        <f t="shared" si="20"/>
        <v>0</v>
      </c>
      <c r="M68" s="307">
        <f t="shared" si="10"/>
        <v>0</v>
      </c>
      <c r="N68" s="307">
        <f t="shared" si="21"/>
        <v>0</v>
      </c>
      <c r="O68" s="307">
        <f t="shared" si="21"/>
        <v>0</v>
      </c>
      <c r="P68" s="352">
        <f t="shared" si="16"/>
        <v>0</v>
      </c>
      <c r="Q68" s="307">
        <f t="shared" si="11"/>
        <v>0</v>
      </c>
      <c r="R68" s="307">
        <f t="shared" si="21"/>
        <v>0</v>
      </c>
      <c r="S68" s="354">
        <f t="shared" si="21"/>
        <v>0</v>
      </c>
      <c r="T68" s="358">
        <f t="shared" si="17"/>
        <v>0</v>
      </c>
      <c r="U68" s="359">
        <f t="shared" si="19"/>
        <v>0</v>
      </c>
      <c r="V68" s="363"/>
      <c r="W68" s="3"/>
    </row>
    <row r="69" spans="1:23" ht="15" hidden="1">
      <c r="A69" s="277"/>
      <c r="B69" s="280"/>
      <c r="C69" s="54"/>
      <c r="D69" s="169">
        <f t="shared" si="7"/>
        <v>0</v>
      </c>
      <c r="E69" s="157">
        <f t="shared" si="21"/>
        <v>0</v>
      </c>
      <c r="F69" s="157">
        <f t="shared" si="21"/>
        <v>0</v>
      </c>
      <c r="G69" s="352">
        <f t="shared" si="13"/>
        <v>0</v>
      </c>
      <c r="H69" s="157">
        <f t="shared" si="9"/>
        <v>0</v>
      </c>
      <c r="I69" s="157">
        <f t="shared" si="21"/>
        <v>0</v>
      </c>
      <c r="J69" s="157">
        <f t="shared" si="21"/>
        <v>0</v>
      </c>
      <c r="K69" s="352">
        <f t="shared" si="14"/>
        <v>0</v>
      </c>
      <c r="L69" s="352">
        <f t="shared" si="20"/>
        <v>0</v>
      </c>
      <c r="M69" s="157">
        <f t="shared" si="10"/>
        <v>0</v>
      </c>
      <c r="N69" s="157">
        <f t="shared" si="21"/>
        <v>0</v>
      </c>
      <c r="O69" s="157">
        <f t="shared" si="21"/>
        <v>0</v>
      </c>
      <c r="P69" s="352">
        <f>O69</f>
        <v>0</v>
      </c>
      <c r="Q69" s="157">
        <f t="shared" si="11"/>
        <v>0</v>
      </c>
      <c r="R69" s="157">
        <f t="shared" si="21"/>
        <v>0</v>
      </c>
      <c r="S69" s="354">
        <f t="shared" si="21"/>
        <v>0</v>
      </c>
      <c r="T69" s="358">
        <f t="shared" si="17"/>
        <v>0</v>
      </c>
      <c r="U69" s="359">
        <f t="shared" si="19"/>
        <v>0</v>
      </c>
      <c r="V69" s="357"/>
      <c r="W69" s="3"/>
    </row>
    <row r="70" spans="1:23" ht="14.25" hidden="1">
      <c r="A70" s="282"/>
      <c r="B70" s="283"/>
      <c r="C70" s="71"/>
      <c r="D70" s="169">
        <f t="shared" si="7"/>
        <v>0</v>
      </c>
      <c r="E70" s="157">
        <f t="shared" si="21"/>
        <v>0</v>
      </c>
      <c r="F70" s="157">
        <f t="shared" si="21"/>
        <v>0</v>
      </c>
      <c r="G70" s="352">
        <f t="shared" si="13"/>
        <v>0</v>
      </c>
      <c r="H70" s="157">
        <f t="shared" si="9"/>
        <v>0</v>
      </c>
      <c r="I70" s="157">
        <f t="shared" si="21"/>
        <v>0</v>
      </c>
      <c r="J70" s="157">
        <f t="shared" si="21"/>
        <v>0</v>
      </c>
      <c r="K70" s="352">
        <f t="shared" si="14"/>
        <v>0</v>
      </c>
      <c r="L70" s="352">
        <f t="shared" si="20"/>
        <v>0</v>
      </c>
      <c r="M70" s="157">
        <f t="shared" si="10"/>
        <v>0</v>
      </c>
      <c r="N70" s="157">
        <f t="shared" si="21"/>
        <v>0</v>
      </c>
      <c r="O70" s="157">
        <f t="shared" si="21"/>
        <v>0</v>
      </c>
      <c r="P70" s="352">
        <f t="shared" si="16"/>
        <v>0</v>
      </c>
      <c r="Q70" s="157">
        <f t="shared" si="11"/>
        <v>0</v>
      </c>
      <c r="R70" s="157">
        <f t="shared" si="21"/>
        <v>0</v>
      </c>
      <c r="S70" s="354">
        <f>R70+S36</f>
        <v>0</v>
      </c>
      <c r="T70" s="358">
        <f t="shared" si="17"/>
        <v>0</v>
      </c>
      <c r="U70" s="359">
        <f t="shared" si="19"/>
        <v>0</v>
      </c>
      <c r="V70" s="357"/>
      <c r="W70" s="3"/>
    </row>
    <row r="71" spans="1:23" ht="14.25" hidden="1">
      <c r="A71" s="282"/>
      <c r="B71" s="283"/>
      <c r="C71" s="71"/>
      <c r="D71" s="169">
        <f t="shared" si="7"/>
        <v>0</v>
      </c>
      <c r="E71" s="157">
        <f t="shared" si="21"/>
        <v>0</v>
      </c>
      <c r="F71" s="157">
        <f t="shared" si="21"/>
        <v>0</v>
      </c>
      <c r="G71" s="352">
        <f t="shared" si="13"/>
        <v>0</v>
      </c>
      <c r="H71" s="157">
        <f t="shared" si="9"/>
        <v>0</v>
      </c>
      <c r="I71" s="157">
        <f t="shared" si="21"/>
        <v>0</v>
      </c>
      <c r="J71" s="157">
        <f t="shared" si="21"/>
        <v>0</v>
      </c>
      <c r="K71" s="352">
        <f t="shared" si="14"/>
        <v>0</v>
      </c>
      <c r="L71" s="352">
        <f t="shared" si="20"/>
        <v>0</v>
      </c>
      <c r="M71" s="157">
        <f t="shared" si="10"/>
        <v>0</v>
      </c>
      <c r="N71" s="157">
        <f t="shared" si="21"/>
        <v>0</v>
      </c>
      <c r="O71" s="157">
        <f t="shared" si="21"/>
        <v>0</v>
      </c>
      <c r="P71" s="352">
        <f t="shared" si="16"/>
        <v>0</v>
      </c>
      <c r="Q71" s="157">
        <f t="shared" si="11"/>
        <v>0</v>
      </c>
      <c r="R71" s="157">
        <f t="shared" si="21"/>
        <v>0</v>
      </c>
      <c r="S71" s="354">
        <f t="shared" si="21"/>
        <v>0</v>
      </c>
      <c r="T71" s="358">
        <f t="shared" si="17"/>
        <v>0</v>
      </c>
      <c r="U71" s="359">
        <f t="shared" si="19"/>
        <v>0</v>
      </c>
      <c r="V71" s="357"/>
      <c r="W71" s="3"/>
    </row>
    <row r="72" spans="1:23" ht="15.75" thickBot="1">
      <c r="A72" s="284">
        <v>29</v>
      </c>
      <c r="B72" s="285" t="s">
        <v>994</v>
      </c>
      <c r="C72" s="286"/>
      <c r="D72" s="309">
        <f>SUM(D44:D71)</f>
        <v>600</v>
      </c>
      <c r="E72" s="310">
        <f>SUM(E44:E71)</f>
        <v>600</v>
      </c>
      <c r="F72" s="310">
        <f aca="true" t="shared" si="22" ref="F72:R72">SUM(F44:F71)</f>
        <v>600</v>
      </c>
      <c r="G72" s="364">
        <f t="shared" si="13"/>
        <v>600</v>
      </c>
      <c r="H72" s="310">
        <f t="shared" si="22"/>
        <v>600</v>
      </c>
      <c r="I72" s="310">
        <f t="shared" si="22"/>
        <v>600</v>
      </c>
      <c r="J72" s="310">
        <f t="shared" si="22"/>
        <v>600</v>
      </c>
      <c r="K72" s="365">
        <f>J72</f>
        <v>600</v>
      </c>
      <c r="L72" s="365">
        <f>J72</f>
        <v>600</v>
      </c>
      <c r="M72" s="310">
        <f t="shared" si="22"/>
        <v>600</v>
      </c>
      <c r="N72" s="310">
        <f t="shared" si="22"/>
        <v>600</v>
      </c>
      <c r="O72" s="310">
        <f t="shared" si="22"/>
        <v>600</v>
      </c>
      <c r="P72" s="365">
        <f t="shared" si="16"/>
        <v>600</v>
      </c>
      <c r="Q72" s="310">
        <f t="shared" si="22"/>
        <v>600</v>
      </c>
      <c r="R72" s="310">
        <f t="shared" si="22"/>
        <v>600</v>
      </c>
      <c r="S72" s="310">
        <f>R72+S38</f>
        <v>600</v>
      </c>
      <c r="T72" s="366">
        <f t="shared" si="17"/>
        <v>600</v>
      </c>
      <c r="U72" s="367">
        <f t="shared" si="19"/>
        <v>600</v>
      </c>
      <c r="V72" s="357"/>
      <c r="W72" s="3"/>
    </row>
    <row r="73" spans="1:16" ht="16.5" thickBot="1" thickTop="1">
      <c r="A73" s="797" t="s">
        <v>435</v>
      </c>
      <c r="B73" s="798"/>
      <c r="C73" s="799"/>
      <c r="K73" s="225"/>
      <c r="L73" s="225"/>
      <c r="P73" s="225"/>
    </row>
    <row r="74" spans="1:23" ht="15" thickTop="1">
      <c r="A74" s="973" t="s">
        <v>989</v>
      </c>
      <c r="B74" s="975" t="s">
        <v>990</v>
      </c>
      <c r="C74" s="978"/>
      <c r="D74" s="290" t="s">
        <v>996</v>
      </c>
      <c r="E74" s="160" t="s">
        <v>997</v>
      </c>
      <c r="F74" s="291" t="s">
        <v>998</v>
      </c>
      <c r="G74" s="314" t="s">
        <v>338</v>
      </c>
      <c r="H74" s="160" t="s">
        <v>999</v>
      </c>
      <c r="I74" s="160" t="s">
        <v>1000</v>
      </c>
      <c r="J74" s="160" t="s">
        <v>1001</v>
      </c>
      <c r="K74" s="314" t="s">
        <v>339</v>
      </c>
      <c r="L74" s="314" t="s">
        <v>340</v>
      </c>
      <c r="M74" s="160" t="s">
        <v>1002</v>
      </c>
      <c r="N74" s="160" t="s">
        <v>1003</v>
      </c>
      <c r="O74" s="160" t="s">
        <v>1004</v>
      </c>
      <c r="P74" s="316" t="s">
        <v>343</v>
      </c>
      <c r="Q74" s="160" t="s">
        <v>1005</v>
      </c>
      <c r="R74" s="160" t="s">
        <v>1006</v>
      </c>
      <c r="S74" s="347" t="s">
        <v>1007</v>
      </c>
      <c r="T74" s="316" t="s">
        <v>341</v>
      </c>
      <c r="U74" s="318" t="s">
        <v>342</v>
      </c>
      <c r="V74" s="324"/>
      <c r="W74" s="3"/>
    </row>
    <row r="75" spans="1:23" ht="15.75" thickBot="1">
      <c r="A75" s="974"/>
      <c r="B75" s="976"/>
      <c r="C75" s="979"/>
      <c r="D75" s="259" t="s">
        <v>763</v>
      </c>
      <c r="E75" s="260" t="s">
        <v>764</v>
      </c>
      <c r="F75" s="261" t="s">
        <v>765</v>
      </c>
      <c r="G75" s="320" t="s">
        <v>1013</v>
      </c>
      <c r="H75" s="260" t="s">
        <v>766</v>
      </c>
      <c r="I75" s="260" t="s">
        <v>767</v>
      </c>
      <c r="J75" s="260" t="s">
        <v>768</v>
      </c>
      <c r="K75" s="320" t="s">
        <v>1015</v>
      </c>
      <c r="L75" s="320" t="s">
        <v>17</v>
      </c>
      <c r="M75" s="260" t="s">
        <v>769</v>
      </c>
      <c r="N75" s="260" t="s">
        <v>770</v>
      </c>
      <c r="O75" s="260" t="s">
        <v>771</v>
      </c>
      <c r="P75" s="321" t="s">
        <v>18</v>
      </c>
      <c r="Q75" s="260" t="s">
        <v>772</v>
      </c>
      <c r="R75" s="260" t="s">
        <v>773</v>
      </c>
      <c r="S75" s="322" t="s">
        <v>774</v>
      </c>
      <c r="T75" s="321" t="s">
        <v>19</v>
      </c>
      <c r="U75" s="323" t="s">
        <v>20</v>
      </c>
      <c r="V75" s="324"/>
      <c r="W75" s="3"/>
    </row>
    <row r="76" spans="1:23" ht="15.75">
      <c r="A76" s="981" t="s">
        <v>991</v>
      </c>
      <c r="B76" s="976"/>
      <c r="C76" s="979"/>
      <c r="D76" s="263" t="s">
        <v>335</v>
      </c>
      <c r="E76" s="264" t="s">
        <v>335</v>
      </c>
      <c r="F76" s="264" t="s">
        <v>336</v>
      </c>
      <c r="G76" s="326" t="s">
        <v>459</v>
      </c>
      <c r="H76" s="264" t="s">
        <v>335</v>
      </c>
      <c r="I76" s="264" t="s">
        <v>335</v>
      </c>
      <c r="J76" s="264" t="s">
        <v>335</v>
      </c>
      <c r="K76" s="326" t="s">
        <v>1020</v>
      </c>
      <c r="L76" s="326" t="s">
        <v>1020</v>
      </c>
      <c r="M76" s="264" t="s">
        <v>335</v>
      </c>
      <c r="N76" s="264" t="s">
        <v>335</v>
      </c>
      <c r="O76" s="264" t="s">
        <v>335</v>
      </c>
      <c r="P76" s="326" t="s">
        <v>1020</v>
      </c>
      <c r="Q76" s="264" t="s">
        <v>335</v>
      </c>
      <c r="R76" s="264" t="s">
        <v>335</v>
      </c>
      <c r="S76" s="264" t="s">
        <v>335</v>
      </c>
      <c r="T76" s="328" t="s">
        <v>1020</v>
      </c>
      <c r="U76" s="328" t="s">
        <v>1020</v>
      </c>
      <c r="V76" s="329"/>
      <c r="W76" s="3"/>
    </row>
    <row r="77" spans="1:23" ht="15" thickBot="1">
      <c r="A77" s="982"/>
      <c r="B77" s="977"/>
      <c r="C77" s="980"/>
      <c r="D77" s="293" t="s">
        <v>987</v>
      </c>
      <c r="E77" s="294" t="s">
        <v>987</v>
      </c>
      <c r="F77" s="294" t="s">
        <v>987</v>
      </c>
      <c r="G77" s="348" t="s">
        <v>987</v>
      </c>
      <c r="H77" s="294" t="s">
        <v>987</v>
      </c>
      <c r="I77" s="294" t="s">
        <v>987</v>
      </c>
      <c r="J77" s="294" t="s">
        <v>987</v>
      </c>
      <c r="K77" s="348" t="s">
        <v>987</v>
      </c>
      <c r="L77" s="348" t="s">
        <v>987</v>
      </c>
      <c r="M77" s="294" t="s">
        <v>987</v>
      </c>
      <c r="N77" s="294" t="s">
        <v>987</v>
      </c>
      <c r="O77" s="294" t="s">
        <v>987</v>
      </c>
      <c r="P77" s="348" t="s">
        <v>987</v>
      </c>
      <c r="Q77" s="294" t="s">
        <v>987</v>
      </c>
      <c r="R77" s="294" t="s">
        <v>987</v>
      </c>
      <c r="S77" s="349" t="s">
        <v>987</v>
      </c>
      <c r="T77" s="350" t="s">
        <v>987</v>
      </c>
      <c r="U77" s="350" t="s">
        <v>987</v>
      </c>
      <c r="V77" s="351"/>
      <c r="W77" s="3"/>
    </row>
    <row r="78" spans="1:23" ht="15" thickTop="1">
      <c r="A78" s="270">
        <v>1</v>
      </c>
      <c r="B78" s="271" t="str">
        <f>B44</f>
        <v>改装修复费</v>
      </c>
      <c r="C78" s="272"/>
      <c r="D78" s="296">
        <v>80</v>
      </c>
      <c r="E78" s="297"/>
      <c r="F78" s="297"/>
      <c r="G78" s="352">
        <f>F78</f>
        <v>0</v>
      </c>
      <c r="H78" s="297"/>
      <c r="I78" s="297"/>
      <c r="J78" s="297"/>
      <c r="K78" s="353">
        <f>J78</f>
        <v>0</v>
      </c>
      <c r="L78" s="353">
        <f>J78</f>
        <v>0</v>
      </c>
      <c r="M78" s="297"/>
      <c r="N78" s="297"/>
      <c r="O78" s="297"/>
      <c r="P78" s="353">
        <f>O78</f>
        <v>0</v>
      </c>
      <c r="Q78" s="297"/>
      <c r="R78" s="297"/>
      <c r="S78" s="354"/>
      <c r="T78" s="355">
        <f>S78</f>
        <v>0</v>
      </c>
      <c r="U78" s="356">
        <f>S78</f>
        <v>0</v>
      </c>
      <c r="V78" s="357"/>
      <c r="W78" s="3"/>
    </row>
    <row r="79" spans="1:23" ht="14.25">
      <c r="A79" s="277">
        <v>2</v>
      </c>
      <c r="B79" s="278" t="str">
        <f aca="true" t="shared" si="23" ref="B79:B87">B45</f>
        <v>产品看护费</v>
      </c>
      <c r="C79" s="71"/>
      <c r="D79" s="169">
        <v>90</v>
      </c>
      <c r="E79" s="157"/>
      <c r="F79" s="157"/>
      <c r="G79" s="352">
        <f aca="true" t="shared" si="24" ref="G79:G106">F79</f>
        <v>0</v>
      </c>
      <c r="H79" s="157"/>
      <c r="I79" s="157"/>
      <c r="J79" s="157"/>
      <c r="K79" s="352">
        <f aca="true" t="shared" si="25" ref="K79:K105">J79</f>
        <v>0</v>
      </c>
      <c r="L79" s="352">
        <f aca="true" t="shared" si="26" ref="L79:L105">J79</f>
        <v>0</v>
      </c>
      <c r="M79" s="157"/>
      <c r="N79" s="157"/>
      <c r="O79" s="157"/>
      <c r="P79" s="352">
        <f aca="true" t="shared" si="27" ref="P79:P106">O79</f>
        <v>0</v>
      </c>
      <c r="Q79" s="157"/>
      <c r="R79" s="157"/>
      <c r="S79" s="354"/>
      <c r="T79" s="358">
        <f aca="true" t="shared" si="28" ref="T79:T106">S79</f>
        <v>0</v>
      </c>
      <c r="U79" s="359">
        <f aca="true" t="shared" si="29" ref="U79:U106">S79</f>
        <v>0</v>
      </c>
      <c r="V79" s="357"/>
      <c r="W79" s="3"/>
    </row>
    <row r="80" spans="1:23" ht="15">
      <c r="A80" s="277">
        <v>3</v>
      </c>
      <c r="B80" s="278" t="str">
        <f t="shared" si="23"/>
        <v>水电费</v>
      </c>
      <c r="C80" s="54"/>
      <c r="D80" s="169">
        <v>100</v>
      </c>
      <c r="E80" s="157"/>
      <c r="F80" s="157"/>
      <c r="G80" s="352">
        <f t="shared" si="24"/>
        <v>0</v>
      </c>
      <c r="H80" s="157"/>
      <c r="I80" s="157"/>
      <c r="J80" s="157"/>
      <c r="K80" s="352">
        <f t="shared" si="25"/>
        <v>0</v>
      </c>
      <c r="L80" s="352">
        <f t="shared" si="26"/>
        <v>0</v>
      </c>
      <c r="M80" s="157"/>
      <c r="N80" s="157"/>
      <c r="O80" s="157"/>
      <c r="P80" s="352">
        <f t="shared" si="27"/>
        <v>0</v>
      </c>
      <c r="Q80" s="157"/>
      <c r="R80" s="157"/>
      <c r="S80" s="354"/>
      <c r="T80" s="358">
        <f t="shared" si="28"/>
        <v>0</v>
      </c>
      <c r="U80" s="359">
        <f t="shared" si="29"/>
        <v>0</v>
      </c>
      <c r="V80" s="357"/>
      <c r="W80" s="3"/>
    </row>
    <row r="81" spans="1:23" ht="15">
      <c r="A81" s="277">
        <v>4</v>
      </c>
      <c r="B81" s="278" t="str">
        <f t="shared" si="23"/>
        <v>采暖费</v>
      </c>
      <c r="C81" s="54"/>
      <c r="D81" s="169">
        <v>110</v>
      </c>
      <c r="E81" s="157"/>
      <c r="F81" s="157"/>
      <c r="G81" s="352">
        <f t="shared" si="24"/>
        <v>0</v>
      </c>
      <c r="H81" s="157"/>
      <c r="I81" s="157"/>
      <c r="J81" s="157"/>
      <c r="K81" s="352">
        <f t="shared" si="25"/>
        <v>0</v>
      </c>
      <c r="L81" s="352">
        <f t="shared" si="26"/>
        <v>0</v>
      </c>
      <c r="M81" s="157"/>
      <c r="N81" s="157"/>
      <c r="O81" s="157"/>
      <c r="P81" s="352">
        <f t="shared" si="27"/>
        <v>0</v>
      </c>
      <c r="Q81" s="157"/>
      <c r="R81" s="157"/>
      <c r="S81" s="354"/>
      <c r="T81" s="358">
        <f t="shared" si="28"/>
        <v>0</v>
      </c>
      <c r="U81" s="359">
        <f t="shared" si="29"/>
        <v>0</v>
      </c>
      <c r="V81" s="357"/>
      <c r="W81" s="3"/>
    </row>
    <row r="82" spans="1:23" ht="15">
      <c r="A82" s="277">
        <v>5</v>
      </c>
      <c r="B82" s="278" t="str">
        <f t="shared" si="23"/>
        <v>展览宣传费</v>
      </c>
      <c r="C82" s="54"/>
      <c r="D82" s="169">
        <v>120</v>
      </c>
      <c r="E82" s="157"/>
      <c r="F82" s="157"/>
      <c r="G82" s="352">
        <f t="shared" si="24"/>
        <v>0</v>
      </c>
      <c r="H82" s="157"/>
      <c r="I82" s="157"/>
      <c r="J82" s="157"/>
      <c r="K82" s="352">
        <f t="shared" si="25"/>
        <v>0</v>
      </c>
      <c r="L82" s="352">
        <f t="shared" si="26"/>
        <v>0</v>
      </c>
      <c r="M82" s="157"/>
      <c r="N82" s="157"/>
      <c r="O82" s="157"/>
      <c r="P82" s="352">
        <f t="shared" si="27"/>
        <v>0</v>
      </c>
      <c r="Q82" s="157"/>
      <c r="R82" s="157"/>
      <c r="S82" s="354"/>
      <c r="T82" s="358">
        <f t="shared" si="28"/>
        <v>0</v>
      </c>
      <c r="U82" s="359">
        <f t="shared" si="29"/>
        <v>0</v>
      </c>
      <c r="V82" s="357"/>
      <c r="W82" s="3"/>
    </row>
    <row r="83" spans="1:23" ht="15">
      <c r="A83" s="277">
        <v>6</v>
      </c>
      <c r="B83" s="278" t="str">
        <f t="shared" si="23"/>
        <v>广告费</v>
      </c>
      <c r="C83" s="54"/>
      <c r="D83" s="169">
        <v>130</v>
      </c>
      <c r="E83" s="157"/>
      <c r="F83" s="157"/>
      <c r="G83" s="352">
        <f t="shared" si="24"/>
        <v>0</v>
      </c>
      <c r="H83" s="157"/>
      <c r="I83" s="157"/>
      <c r="J83" s="157"/>
      <c r="K83" s="352">
        <f t="shared" si="25"/>
        <v>0</v>
      </c>
      <c r="L83" s="352">
        <f t="shared" si="26"/>
        <v>0</v>
      </c>
      <c r="M83" s="157"/>
      <c r="N83" s="157"/>
      <c r="O83" s="157"/>
      <c r="P83" s="352">
        <f t="shared" si="27"/>
        <v>0</v>
      </c>
      <c r="Q83" s="157"/>
      <c r="R83" s="157"/>
      <c r="S83" s="354"/>
      <c r="T83" s="358">
        <f t="shared" si="28"/>
        <v>0</v>
      </c>
      <c r="U83" s="359">
        <f t="shared" si="29"/>
        <v>0</v>
      </c>
      <c r="V83" s="357"/>
      <c r="W83" s="3"/>
    </row>
    <row r="84" spans="1:23" ht="15">
      <c r="A84" s="277">
        <v>7</v>
      </c>
      <c r="B84" s="278" t="str">
        <f t="shared" si="23"/>
        <v>工资</v>
      </c>
      <c r="C84" s="54"/>
      <c r="D84" s="169">
        <v>140</v>
      </c>
      <c r="E84" s="157"/>
      <c r="F84" s="157"/>
      <c r="G84" s="352">
        <f t="shared" si="24"/>
        <v>0</v>
      </c>
      <c r="H84" s="157"/>
      <c r="I84" s="157"/>
      <c r="J84" s="157"/>
      <c r="K84" s="352">
        <f t="shared" si="25"/>
        <v>0</v>
      </c>
      <c r="L84" s="352">
        <f t="shared" si="26"/>
        <v>0</v>
      </c>
      <c r="M84" s="157"/>
      <c r="N84" s="157"/>
      <c r="O84" s="157"/>
      <c r="P84" s="352">
        <f t="shared" si="27"/>
        <v>0</v>
      </c>
      <c r="Q84" s="157"/>
      <c r="R84" s="157"/>
      <c r="S84" s="354"/>
      <c r="T84" s="358">
        <f t="shared" si="28"/>
        <v>0</v>
      </c>
      <c r="U84" s="359">
        <f t="shared" si="29"/>
        <v>0</v>
      </c>
      <c r="V84" s="357"/>
      <c r="W84" s="3"/>
    </row>
    <row r="85" spans="1:23" ht="15">
      <c r="A85" s="277">
        <v>8</v>
      </c>
      <c r="B85" s="278" t="str">
        <f t="shared" si="23"/>
        <v>福利费</v>
      </c>
      <c r="C85" s="54"/>
      <c r="D85" s="169">
        <v>150</v>
      </c>
      <c r="E85" s="163"/>
      <c r="F85" s="163"/>
      <c r="G85" s="352">
        <f t="shared" si="24"/>
        <v>0</v>
      </c>
      <c r="H85" s="163"/>
      <c r="I85" s="163"/>
      <c r="J85" s="163"/>
      <c r="K85" s="352">
        <f t="shared" si="25"/>
        <v>0</v>
      </c>
      <c r="L85" s="352">
        <f t="shared" si="26"/>
        <v>0</v>
      </c>
      <c r="M85" s="163"/>
      <c r="N85" s="163"/>
      <c r="O85" s="163"/>
      <c r="P85" s="352">
        <f t="shared" si="27"/>
        <v>0</v>
      </c>
      <c r="Q85" s="163"/>
      <c r="R85" s="163"/>
      <c r="S85" s="354"/>
      <c r="T85" s="358">
        <f t="shared" si="28"/>
        <v>0</v>
      </c>
      <c r="U85" s="359">
        <f t="shared" si="29"/>
        <v>0</v>
      </c>
      <c r="V85" s="339"/>
      <c r="W85" s="3"/>
    </row>
    <row r="86" spans="1:23" ht="15" customHeight="1">
      <c r="A86" s="277">
        <v>9</v>
      </c>
      <c r="B86" s="278" t="str">
        <f t="shared" si="23"/>
        <v>业务费</v>
      </c>
      <c r="C86" s="71"/>
      <c r="D86" s="169">
        <v>160</v>
      </c>
      <c r="E86" s="279"/>
      <c r="F86" s="279"/>
      <c r="G86" s="352">
        <f t="shared" si="24"/>
        <v>0</v>
      </c>
      <c r="H86" s="279"/>
      <c r="I86" s="279"/>
      <c r="J86" s="279"/>
      <c r="K86" s="352">
        <f t="shared" si="25"/>
        <v>0</v>
      </c>
      <c r="L86" s="352">
        <f t="shared" si="26"/>
        <v>0</v>
      </c>
      <c r="M86" s="279"/>
      <c r="N86" s="279"/>
      <c r="O86" s="279"/>
      <c r="P86" s="352">
        <f t="shared" si="27"/>
        <v>0</v>
      </c>
      <c r="Q86" s="279"/>
      <c r="R86" s="279"/>
      <c r="S86" s="354"/>
      <c r="T86" s="358">
        <f t="shared" si="28"/>
        <v>0</v>
      </c>
      <c r="U86" s="359">
        <f t="shared" si="29"/>
        <v>0</v>
      </c>
      <c r="V86" s="360"/>
      <c r="W86" s="3"/>
    </row>
    <row r="87" spans="1:23" ht="14.25">
      <c r="A87" s="277">
        <v>10</v>
      </c>
      <c r="B87" s="278" t="str">
        <f t="shared" si="23"/>
        <v>其他</v>
      </c>
      <c r="C87" s="71"/>
      <c r="D87" s="169">
        <v>170</v>
      </c>
      <c r="E87" s="163"/>
      <c r="F87" s="163"/>
      <c r="G87" s="352">
        <f t="shared" si="24"/>
        <v>0</v>
      </c>
      <c r="H87" s="163"/>
      <c r="I87" s="163"/>
      <c r="J87" s="163"/>
      <c r="K87" s="352">
        <f t="shared" si="25"/>
        <v>0</v>
      </c>
      <c r="L87" s="352">
        <f t="shared" si="26"/>
        <v>0</v>
      </c>
      <c r="M87" s="163"/>
      <c r="N87" s="163"/>
      <c r="O87" s="163"/>
      <c r="P87" s="352">
        <f t="shared" si="27"/>
        <v>0</v>
      </c>
      <c r="Q87" s="163"/>
      <c r="R87" s="163"/>
      <c r="S87" s="354"/>
      <c r="T87" s="358">
        <f t="shared" si="28"/>
        <v>0</v>
      </c>
      <c r="U87" s="359">
        <f t="shared" si="29"/>
        <v>0</v>
      </c>
      <c r="V87" s="339"/>
      <c r="W87" s="3"/>
    </row>
    <row r="88" spans="1:23" ht="15">
      <c r="A88" s="277"/>
      <c r="B88" s="278"/>
      <c r="C88" s="54"/>
      <c r="D88" s="162"/>
      <c r="E88" s="163"/>
      <c r="F88" s="163"/>
      <c r="G88" s="352">
        <f t="shared" si="24"/>
        <v>0</v>
      </c>
      <c r="H88" s="163"/>
      <c r="I88" s="163"/>
      <c r="J88" s="163"/>
      <c r="K88" s="352">
        <f t="shared" si="25"/>
        <v>0</v>
      </c>
      <c r="L88" s="352">
        <f t="shared" si="26"/>
        <v>0</v>
      </c>
      <c r="M88" s="163"/>
      <c r="N88" s="163"/>
      <c r="O88" s="163"/>
      <c r="P88" s="352">
        <f t="shared" si="27"/>
        <v>0</v>
      </c>
      <c r="Q88" s="163"/>
      <c r="R88" s="163"/>
      <c r="S88" s="354"/>
      <c r="T88" s="358">
        <f t="shared" si="28"/>
        <v>0</v>
      </c>
      <c r="U88" s="359">
        <f t="shared" si="29"/>
        <v>0</v>
      </c>
      <c r="V88" s="339"/>
      <c r="W88" s="3"/>
    </row>
    <row r="89" spans="1:23" ht="15">
      <c r="A89" s="277"/>
      <c r="B89" s="278"/>
      <c r="C89" s="54"/>
      <c r="D89" s="162"/>
      <c r="E89" s="163"/>
      <c r="F89" s="163"/>
      <c r="G89" s="352">
        <f t="shared" si="24"/>
        <v>0</v>
      </c>
      <c r="H89" s="163"/>
      <c r="I89" s="163"/>
      <c r="J89" s="163"/>
      <c r="K89" s="352">
        <f t="shared" si="25"/>
        <v>0</v>
      </c>
      <c r="L89" s="352">
        <f t="shared" si="26"/>
        <v>0</v>
      </c>
      <c r="M89" s="163"/>
      <c r="N89" s="163"/>
      <c r="O89" s="163"/>
      <c r="P89" s="352">
        <f t="shared" si="27"/>
        <v>0</v>
      </c>
      <c r="Q89" s="163"/>
      <c r="R89" s="163"/>
      <c r="S89" s="354"/>
      <c r="T89" s="358">
        <f t="shared" si="28"/>
        <v>0</v>
      </c>
      <c r="U89" s="359">
        <f t="shared" si="29"/>
        <v>0</v>
      </c>
      <c r="V89" s="339"/>
      <c r="W89" s="3"/>
    </row>
    <row r="90" spans="1:23" ht="15">
      <c r="A90" s="277"/>
      <c r="B90" s="278"/>
      <c r="C90" s="54"/>
      <c r="D90" s="162"/>
      <c r="E90" s="163"/>
      <c r="F90" s="163"/>
      <c r="G90" s="352">
        <f t="shared" si="24"/>
        <v>0</v>
      </c>
      <c r="H90" s="163"/>
      <c r="I90" s="163"/>
      <c r="J90" s="163"/>
      <c r="K90" s="352">
        <f t="shared" si="25"/>
        <v>0</v>
      </c>
      <c r="L90" s="352">
        <f t="shared" si="26"/>
        <v>0</v>
      </c>
      <c r="M90" s="163"/>
      <c r="N90" s="163"/>
      <c r="O90" s="163"/>
      <c r="P90" s="352">
        <f t="shared" si="27"/>
        <v>0</v>
      </c>
      <c r="Q90" s="163"/>
      <c r="R90" s="163"/>
      <c r="S90" s="354"/>
      <c r="T90" s="358">
        <f t="shared" si="28"/>
        <v>0</v>
      </c>
      <c r="U90" s="359">
        <f t="shared" si="29"/>
        <v>0</v>
      </c>
      <c r="V90" s="339"/>
      <c r="W90" s="3"/>
    </row>
    <row r="91" spans="1:23" ht="15">
      <c r="A91" s="277"/>
      <c r="B91" s="278"/>
      <c r="C91" s="54"/>
      <c r="D91" s="162"/>
      <c r="E91" s="163"/>
      <c r="F91" s="163"/>
      <c r="G91" s="352">
        <f t="shared" si="24"/>
        <v>0</v>
      </c>
      <c r="H91" s="163"/>
      <c r="I91" s="163"/>
      <c r="J91" s="163"/>
      <c r="K91" s="352">
        <f t="shared" si="25"/>
        <v>0</v>
      </c>
      <c r="L91" s="352">
        <f t="shared" si="26"/>
        <v>0</v>
      </c>
      <c r="M91" s="163"/>
      <c r="N91" s="163"/>
      <c r="O91" s="163"/>
      <c r="P91" s="352">
        <f t="shared" si="27"/>
        <v>0</v>
      </c>
      <c r="Q91" s="163"/>
      <c r="R91" s="163"/>
      <c r="S91" s="354"/>
      <c r="T91" s="358">
        <f t="shared" si="28"/>
        <v>0</v>
      </c>
      <c r="U91" s="359">
        <f t="shared" si="29"/>
        <v>0</v>
      </c>
      <c r="V91" s="339"/>
      <c r="W91" s="3"/>
    </row>
    <row r="92" spans="1:23" ht="15">
      <c r="A92" s="277"/>
      <c r="B92" s="278"/>
      <c r="C92" s="54"/>
      <c r="D92" s="162"/>
      <c r="E92" s="157"/>
      <c r="F92" s="157"/>
      <c r="G92" s="352">
        <f t="shared" si="24"/>
        <v>0</v>
      </c>
      <c r="H92" s="157"/>
      <c r="I92" s="157"/>
      <c r="J92" s="157"/>
      <c r="K92" s="352">
        <f t="shared" si="25"/>
        <v>0</v>
      </c>
      <c r="L92" s="352">
        <f t="shared" si="26"/>
        <v>0</v>
      </c>
      <c r="M92" s="157"/>
      <c r="N92" s="157"/>
      <c r="O92" s="157"/>
      <c r="P92" s="352">
        <f t="shared" si="27"/>
        <v>0</v>
      </c>
      <c r="Q92" s="157"/>
      <c r="R92" s="157"/>
      <c r="S92" s="354"/>
      <c r="T92" s="358">
        <f t="shared" si="28"/>
        <v>0</v>
      </c>
      <c r="U92" s="359">
        <f t="shared" si="29"/>
        <v>0</v>
      </c>
      <c r="V92" s="357"/>
      <c r="W92" s="3"/>
    </row>
    <row r="93" spans="1:23" ht="15">
      <c r="A93" s="277"/>
      <c r="B93" s="278"/>
      <c r="C93" s="54"/>
      <c r="D93" s="300"/>
      <c r="E93" s="301"/>
      <c r="F93" s="301"/>
      <c r="G93" s="352">
        <f t="shared" si="24"/>
        <v>0</v>
      </c>
      <c r="H93" s="301"/>
      <c r="I93" s="301"/>
      <c r="J93" s="301"/>
      <c r="K93" s="352">
        <f t="shared" si="25"/>
        <v>0</v>
      </c>
      <c r="L93" s="352">
        <f t="shared" si="26"/>
        <v>0</v>
      </c>
      <c r="M93" s="301"/>
      <c r="N93" s="301"/>
      <c r="O93" s="301"/>
      <c r="P93" s="352">
        <f t="shared" si="27"/>
        <v>0</v>
      </c>
      <c r="Q93" s="301"/>
      <c r="R93" s="301"/>
      <c r="S93" s="354"/>
      <c r="T93" s="358">
        <f t="shared" si="28"/>
        <v>0</v>
      </c>
      <c r="U93" s="359">
        <f t="shared" si="29"/>
        <v>0</v>
      </c>
      <c r="V93" s="361"/>
      <c r="W93" s="3"/>
    </row>
    <row r="94" spans="1:23" ht="15">
      <c r="A94" s="277"/>
      <c r="B94" s="278"/>
      <c r="C94" s="54"/>
      <c r="D94" s="300"/>
      <c r="E94" s="301"/>
      <c r="F94" s="301"/>
      <c r="G94" s="352">
        <f>F94</f>
        <v>0</v>
      </c>
      <c r="H94" s="301"/>
      <c r="I94" s="301"/>
      <c r="J94" s="301"/>
      <c r="K94" s="352">
        <f t="shared" si="25"/>
        <v>0</v>
      </c>
      <c r="L94" s="352">
        <f t="shared" si="26"/>
        <v>0</v>
      </c>
      <c r="M94" s="301"/>
      <c r="N94" s="301"/>
      <c r="O94" s="301"/>
      <c r="P94" s="352">
        <f t="shared" si="27"/>
        <v>0</v>
      </c>
      <c r="Q94" s="301"/>
      <c r="R94" s="301"/>
      <c r="S94" s="354"/>
      <c r="T94" s="358">
        <f t="shared" si="28"/>
        <v>0</v>
      </c>
      <c r="U94" s="359">
        <f t="shared" si="29"/>
        <v>0</v>
      </c>
      <c r="V94" s="361"/>
      <c r="W94" s="3"/>
    </row>
    <row r="95" spans="1:23" ht="15">
      <c r="A95" s="277"/>
      <c r="B95" s="278"/>
      <c r="C95" s="54"/>
      <c r="D95" s="300"/>
      <c r="E95" s="301"/>
      <c r="F95" s="301"/>
      <c r="G95" s="352">
        <f t="shared" si="24"/>
        <v>0</v>
      </c>
      <c r="H95" s="301"/>
      <c r="I95" s="301"/>
      <c r="J95" s="301"/>
      <c r="K95" s="352">
        <f t="shared" si="25"/>
        <v>0</v>
      </c>
      <c r="L95" s="352">
        <f t="shared" si="26"/>
        <v>0</v>
      </c>
      <c r="M95" s="301"/>
      <c r="N95" s="301"/>
      <c r="O95" s="301"/>
      <c r="P95" s="352">
        <f t="shared" si="27"/>
        <v>0</v>
      </c>
      <c r="Q95" s="301"/>
      <c r="R95" s="301"/>
      <c r="S95" s="354"/>
      <c r="T95" s="358">
        <f t="shared" si="28"/>
        <v>0</v>
      </c>
      <c r="U95" s="359">
        <f t="shared" si="29"/>
        <v>0</v>
      </c>
      <c r="V95" s="361"/>
      <c r="W95" s="3"/>
    </row>
    <row r="96" spans="1:23" ht="14.25">
      <c r="A96" s="277"/>
      <c r="B96" s="278"/>
      <c r="C96" s="71"/>
      <c r="D96" s="303"/>
      <c r="E96" s="301"/>
      <c r="F96" s="301"/>
      <c r="G96" s="352">
        <f t="shared" si="24"/>
        <v>0</v>
      </c>
      <c r="H96" s="301"/>
      <c r="I96" s="301"/>
      <c r="J96" s="301"/>
      <c r="K96" s="352">
        <f t="shared" si="25"/>
        <v>0</v>
      </c>
      <c r="L96" s="352">
        <f t="shared" si="26"/>
        <v>0</v>
      </c>
      <c r="M96" s="301"/>
      <c r="N96" s="301"/>
      <c r="O96" s="301"/>
      <c r="P96" s="352">
        <f t="shared" si="27"/>
        <v>0</v>
      </c>
      <c r="Q96" s="301"/>
      <c r="R96" s="301"/>
      <c r="S96" s="354"/>
      <c r="T96" s="358">
        <f t="shared" si="28"/>
        <v>0</v>
      </c>
      <c r="U96" s="359">
        <f t="shared" si="29"/>
        <v>0</v>
      </c>
      <c r="V96" s="361"/>
      <c r="W96" s="3"/>
    </row>
    <row r="97" spans="1:23" ht="14.25">
      <c r="A97" s="277"/>
      <c r="B97" s="278"/>
      <c r="C97" s="71"/>
      <c r="D97" s="169"/>
      <c r="E97" s="157"/>
      <c r="F97" s="157"/>
      <c r="G97" s="352">
        <f t="shared" si="24"/>
        <v>0</v>
      </c>
      <c r="H97" s="157"/>
      <c r="I97" s="157"/>
      <c r="J97" s="157"/>
      <c r="K97" s="352">
        <f t="shared" si="25"/>
        <v>0</v>
      </c>
      <c r="L97" s="352">
        <f t="shared" si="26"/>
        <v>0</v>
      </c>
      <c r="M97" s="157"/>
      <c r="N97" s="157"/>
      <c r="O97" s="157"/>
      <c r="P97" s="352">
        <f t="shared" si="27"/>
        <v>0</v>
      </c>
      <c r="Q97" s="157"/>
      <c r="R97" s="157"/>
      <c r="S97" s="354"/>
      <c r="T97" s="358">
        <f t="shared" si="28"/>
        <v>0</v>
      </c>
      <c r="U97" s="359">
        <f t="shared" si="29"/>
        <v>0</v>
      </c>
      <c r="V97" s="357"/>
      <c r="W97" s="3"/>
    </row>
    <row r="98" spans="1:23" ht="14.25">
      <c r="A98" s="277"/>
      <c r="B98" s="278"/>
      <c r="C98" s="71"/>
      <c r="D98" s="169"/>
      <c r="E98" s="157"/>
      <c r="F98" s="157"/>
      <c r="G98" s="352">
        <f t="shared" si="24"/>
        <v>0</v>
      </c>
      <c r="H98" s="157"/>
      <c r="I98" s="157"/>
      <c r="J98" s="157"/>
      <c r="K98" s="352">
        <f t="shared" si="25"/>
        <v>0</v>
      </c>
      <c r="L98" s="352">
        <f t="shared" si="26"/>
        <v>0</v>
      </c>
      <c r="M98" s="157"/>
      <c r="N98" s="157"/>
      <c r="O98" s="157"/>
      <c r="P98" s="352">
        <f t="shared" si="27"/>
        <v>0</v>
      </c>
      <c r="Q98" s="157"/>
      <c r="R98" s="157"/>
      <c r="S98" s="354"/>
      <c r="T98" s="358">
        <f t="shared" si="28"/>
        <v>0</v>
      </c>
      <c r="U98" s="359">
        <f t="shared" si="29"/>
        <v>0</v>
      </c>
      <c r="V98" s="357"/>
      <c r="W98" s="3"/>
    </row>
    <row r="99" spans="1:23" ht="14.25">
      <c r="A99" s="277"/>
      <c r="B99" s="278"/>
      <c r="C99" s="71"/>
      <c r="D99" s="304"/>
      <c r="E99" s="305"/>
      <c r="F99" s="305"/>
      <c r="G99" s="352">
        <f t="shared" si="24"/>
        <v>0</v>
      </c>
      <c r="H99" s="305"/>
      <c r="I99" s="305"/>
      <c r="J99" s="305"/>
      <c r="K99" s="352">
        <f t="shared" si="25"/>
        <v>0</v>
      </c>
      <c r="L99" s="352">
        <f t="shared" si="26"/>
        <v>0</v>
      </c>
      <c r="M99" s="305"/>
      <c r="N99" s="305"/>
      <c r="O99" s="305"/>
      <c r="P99" s="352">
        <f t="shared" si="27"/>
        <v>0</v>
      </c>
      <c r="Q99" s="305"/>
      <c r="R99" s="305"/>
      <c r="S99" s="354"/>
      <c r="T99" s="358">
        <f t="shared" si="28"/>
        <v>0</v>
      </c>
      <c r="U99" s="359">
        <f t="shared" si="29"/>
        <v>0</v>
      </c>
      <c r="V99" s="362"/>
      <c r="W99" s="3"/>
    </row>
    <row r="100" spans="1:23" ht="14.25">
      <c r="A100" s="277"/>
      <c r="B100" s="278"/>
      <c r="C100" s="71"/>
      <c r="D100" s="169"/>
      <c r="E100" s="307"/>
      <c r="F100" s="307"/>
      <c r="G100" s="352">
        <f t="shared" si="24"/>
        <v>0</v>
      </c>
      <c r="H100" s="307"/>
      <c r="I100" s="307"/>
      <c r="J100" s="307"/>
      <c r="K100" s="352">
        <f t="shared" si="25"/>
        <v>0</v>
      </c>
      <c r="L100" s="352">
        <f t="shared" si="26"/>
        <v>0</v>
      </c>
      <c r="M100" s="307"/>
      <c r="N100" s="307"/>
      <c r="O100" s="307"/>
      <c r="P100" s="352">
        <f t="shared" si="27"/>
        <v>0</v>
      </c>
      <c r="Q100" s="307"/>
      <c r="R100" s="307"/>
      <c r="S100" s="354"/>
      <c r="T100" s="358">
        <f t="shared" si="28"/>
        <v>0</v>
      </c>
      <c r="U100" s="359">
        <f t="shared" si="29"/>
        <v>0</v>
      </c>
      <c r="V100" s="363"/>
      <c r="W100" s="3"/>
    </row>
    <row r="101" spans="1:23" ht="15">
      <c r="A101" s="277"/>
      <c r="B101" s="278"/>
      <c r="C101" s="54"/>
      <c r="D101" s="169"/>
      <c r="E101" s="157"/>
      <c r="F101" s="157"/>
      <c r="G101" s="352">
        <f t="shared" si="24"/>
        <v>0</v>
      </c>
      <c r="H101" s="157"/>
      <c r="I101" s="157"/>
      <c r="J101" s="157"/>
      <c r="K101" s="352">
        <f t="shared" si="25"/>
        <v>0</v>
      </c>
      <c r="L101" s="352">
        <f t="shared" si="26"/>
        <v>0</v>
      </c>
      <c r="M101" s="157"/>
      <c r="N101" s="157"/>
      <c r="O101" s="157"/>
      <c r="P101" s="352">
        <f t="shared" si="27"/>
        <v>0</v>
      </c>
      <c r="Q101" s="157"/>
      <c r="R101" s="157"/>
      <c r="S101" s="354"/>
      <c r="T101" s="358">
        <f t="shared" si="28"/>
        <v>0</v>
      </c>
      <c r="U101" s="359">
        <f t="shared" si="29"/>
        <v>0</v>
      </c>
      <c r="V101" s="357"/>
      <c r="W101" s="3"/>
    </row>
    <row r="102" spans="1:23" ht="14.25">
      <c r="A102" s="277"/>
      <c r="B102" s="280"/>
      <c r="C102" s="71"/>
      <c r="D102" s="169"/>
      <c r="E102" s="307"/>
      <c r="F102" s="307"/>
      <c r="G102" s="352">
        <f t="shared" si="24"/>
        <v>0</v>
      </c>
      <c r="H102" s="307"/>
      <c r="I102" s="307"/>
      <c r="J102" s="307"/>
      <c r="K102" s="352">
        <f t="shared" si="25"/>
        <v>0</v>
      </c>
      <c r="L102" s="352">
        <f t="shared" si="26"/>
        <v>0</v>
      </c>
      <c r="M102" s="307"/>
      <c r="N102" s="307"/>
      <c r="O102" s="307"/>
      <c r="P102" s="352">
        <f t="shared" si="27"/>
        <v>0</v>
      </c>
      <c r="Q102" s="307"/>
      <c r="R102" s="307"/>
      <c r="S102" s="354"/>
      <c r="T102" s="358">
        <f t="shared" si="28"/>
        <v>0</v>
      </c>
      <c r="U102" s="359">
        <f t="shared" si="29"/>
        <v>0</v>
      </c>
      <c r="V102" s="363"/>
      <c r="W102" s="3"/>
    </row>
    <row r="103" spans="1:23" ht="15">
      <c r="A103" s="277"/>
      <c r="B103" s="280"/>
      <c r="C103" s="54"/>
      <c r="D103" s="169"/>
      <c r="E103" s="157"/>
      <c r="F103" s="157"/>
      <c r="G103" s="352">
        <f t="shared" si="24"/>
        <v>0</v>
      </c>
      <c r="H103" s="157"/>
      <c r="I103" s="157"/>
      <c r="J103" s="157"/>
      <c r="K103" s="352">
        <f t="shared" si="25"/>
        <v>0</v>
      </c>
      <c r="L103" s="352">
        <f t="shared" si="26"/>
        <v>0</v>
      </c>
      <c r="M103" s="157"/>
      <c r="N103" s="157"/>
      <c r="O103" s="157"/>
      <c r="P103" s="352">
        <f>O103</f>
        <v>0</v>
      </c>
      <c r="Q103" s="157"/>
      <c r="R103" s="157"/>
      <c r="S103" s="354"/>
      <c r="T103" s="358">
        <f t="shared" si="28"/>
        <v>0</v>
      </c>
      <c r="U103" s="359">
        <f t="shared" si="29"/>
        <v>0</v>
      </c>
      <c r="V103" s="357"/>
      <c r="W103" s="3"/>
    </row>
    <row r="104" spans="1:23" ht="14.25">
      <c r="A104" s="282"/>
      <c r="B104" s="283"/>
      <c r="C104" s="71"/>
      <c r="D104" s="169"/>
      <c r="E104" s="157"/>
      <c r="F104" s="157"/>
      <c r="G104" s="352">
        <f t="shared" si="24"/>
        <v>0</v>
      </c>
      <c r="H104" s="157"/>
      <c r="I104" s="157"/>
      <c r="J104" s="157"/>
      <c r="K104" s="352">
        <f t="shared" si="25"/>
        <v>0</v>
      </c>
      <c r="L104" s="352">
        <f t="shared" si="26"/>
        <v>0</v>
      </c>
      <c r="M104" s="157"/>
      <c r="N104" s="157"/>
      <c r="O104" s="157"/>
      <c r="P104" s="352">
        <f t="shared" si="27"/>
        <v>0</v>
      </c>
      <c r="Q104" s="157"/>
      <c r="R104" s="157"/>
      <c r="S104" s="354"/>
      <c r="T104" s="358">
        <f t="shared" si="28"/>
        <v>0</v>
      </c>
      <c r="U104" s="359">
        <f t="shared" si="29"/>
        <v>0</v>
      </c>
      <c r="V104" s="357"/>
      <c r="W104" s="3"/>
    </row>
    <row r="105" spans="1:23" ht="14.25">
      <c r="A105" s="282"/>
      <c r="B105" s="283"/>
      <c r="C105" s="71"/>
      <c r="D105" s="169"/>
      <c r="E105" s="157"/>
      <c r="F105" s="157"/>
      <c r="G105" s="352">
        <f t="shared" si="24"/>
        <v>0</v>
      </c>
      <c r="H105" s="157"/>
      <c r="I105" s="157"/>
      <c r="J105" s="157"/>
      <c r="K105" s="352">
        <f t="shared" si="25"/>
        <v>0</v>
      </c>
      <c r="L105" s="352">
        <f t="shared" si="26"/>
        <v>0</v>
      </c>
      <c r="M105" s="157"/>
      <c r="N105" s="157"/>
      <c r="O105" s="157"/>
      <c r="P105" s="352">
        <f t="shared" si="27"/>
        <v>0</v>
      </c>
      <c r="Q105" s="157"/>
      <c r="R105" s="157"/>
      <c r="S105" s="354"/>
      <c r="T105" s="358">
        <f t="shared" si="28"/>
        <v>0</v>
      </c>
      <c r="U105" s="359">
        <f t="shared" si="29"/>
        <v>0</v>
      </c>
      <c r="V105" s="357"/>
      <c r="W105" s="3"/>
    </row>
    <row r="106" spans="1:23" ht="15.75" thickBot="1">
      <c r="A106" s="284">
        <v>29</v>
      </c>
      <c r="B106" s="285" t="s">
        <v>994</v>
      </c>
      <c r="C106" s="286"/>
      <c r="D106" s="309">
        <f>SUM(D78:D105)</f>
        <v>1250</v>
      </c>
      <c r="E106" s="310">
        <f>SUM(E78:E105)</f>
        <v>0</v>
      </c>
      <c r="F106" s="310">
        <f>SUM(F78:F105)</f>
        <v>0</v>
      </c>
      <c r="G106" s="364">
        <f t="shared" si="24"/>
        <v>0</v>
      </c>
      <c r="H106" s="310">
        <f>SUM(H78:H105)</f>
        <v>0</v>
      </c>
      <c r="I106" s="310">
        <f>SUM(I78:I105)</f>
        <v>0</v>
      </c>
      <c r="J106" s="310">
        <f>SUM(J78:J105)</f>
        <v>0</v>
      </c>
      <c r="K106" s="365">
        <f>J106</f>
        <v>0</v>
      </c>
      <c r="L106" s="365">
        <f>J106</f>
        <v>0</v>
      </c>
      <c r="M106" s="310">
        <f>SUM(M78:M105)</f>
        <v>0</v>
      </c>
      <c r="N106" s="310">
        <f>SUM(N78:N105)</f>
        <v>0</v>
      </c>
      <c r="O106" s="310">
        <f>SUM(O78:O105)</f>
        <v>0</v>
      </c>
      <c r="P106" s="365">
        <f t="shared" si="27"/>
        <v>0</v>
      </c>
      <c r="Q106" s="310">
        <f>SUM(Q78:Q105)</f>
        <v>0</v>
      </c>
      <c r="R106" s="310">
        <f>SUM(R78:R105)</f>
        <v>0</v>
      </c>
      <c r="S106" s="310">
        <f>SUM(S78:S105)</f>
        <v>0</v>
      </c>
      <c r="T106" s="366">
        <f t="shared" si="28"/>
        <v>0</v>
      </c>
      <c r="U106" s="367">
        <f t="shared" si="29"/>
        <v>0</v>
      </c>
      <c r="V106" s="357"/>
      <c r="W106" s="3"/>
    </row>
    <row r="107" ht="15" thickTop="1"/>
  </sheetData>
  <mergeCells count="12">
    <mergeCell ref="A8:A9"/>
    <mergeCell ref="A6:A7"/>
    <mergeCell ref="B6:B9"/>
    <mergeCell ref="C6:C9"/>
    <mergeCell ref="A40:A41"/>
    <mergeCell ref="B40:B43"/>
    <mergeCell ref="C40:C43"/>
    <mergeCell ref="A42:A43"/>
    <mergeCell ref="A74:A75"/>
    <mergeCell ref="B74:B77"/>
    <mergeCell ref="C74:C77"/>
    <mergeCell ref="A76:A7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6"/>
  <dimension ref="A1:G72"/>
  <sheetViews>
    <sheetView showZeros="0" workbookViewId="0" topLeftCell="A1">
      <selection activeCell="G14" sqref="G14"/>
    </sheetView>
  </sheetViews>
  <sheetFormatPr defaultColWidth="9.00390625" defaultRowHeight="14.25"/>
  <cols>
    <col min="1" max="1" width="27.50390625" style="14" customWidth="1"/>
    <col min="2" max="4" width="17.375" style="14" customWidth="1"/>
    <col min="5" max="6" width="9.00390625" style="14" customWidth="1"/>
    <col min="7" max="7" width="12.375" style="14" customWidth="1"/>
    <col min="8" max="16384" width="9.00390625" style="14" customWidth="1"/>
  </cols>
  <sheetData>
    <row r="1" spans="1:5" ht="23.25" thickBot="1">
      <c r="A1" s="5" t="s">
        <v>1041</v>
      </c>
      <c r="B1" s="5"/>
      <c r="C1" s="5"/>
      <c r="D1" s="5"/>
      <c r="E1" s="566">
        <v>1</v>
      </c>
    </row>
    <row r="2" spans="1:7" ht="14.25">
      <c r="A2" s="497"/>
      <c r="C2" s="15"/>
      <c r="D2" s="15"/>
      <c r="F2" s="984">
        <f ca="1">NOW()</f>
        <v>38825.56742395833</v>
      </c>
      <c r="G2" s="984"/>
    </row>
    <row r="3" spans="1:7" ht="14.25">
      <c r="A3" s="496">
        <f>HLOOKUP($E$1,'营业费用'!$D$5:$V$128,2)</f>
        <v>38718</v>
      </c>
      <c r="B3" s="134"/>
      <c r="C3" s="496"/>
      <c r="D3" s="134"/>
      <c r="F3" s="985" t="str">
        <f>CHOOSE(WEEKDAY(F2,2),"星期一","星期二","星期三","星期四","星期五","星期六","星期日")</f>
        <v>星期二</v>
      </c>
      <c r="G3" s="985"/>
    </row>
    <row r="4" spans="1:4" ht="4.5" customHeight="1">
      <c r="A4" s="497"/>
      <c r="B4" s="506"/>
      <c r="C4" s="506"/>
      <c r="D4" s="507"/>
    </row>
    <row r="5" spans="1:4" ht="15">
      <c r="A5" s="567" t="s">
        <v>1044</v>
      </c>
      <c r="B5" s="568"/>
      <c r="C5" s="15"/>
      <c r="D5" s="507" t="s">
        <v>508</v>
      </c>
    </row>
    <row r="6" spans="1:4" ht="4.5" customHeight="1" thickBot="1">
      <c r="A6" s="497"/>
      <c r="B6" s="497"/>
      <c r="C6" s="497"/>
      <c r="D6" s="508"/>
    </row>
    <row r="7" spans="1:4" ht="28.5" customHeight="1">
      <c r="A7" s="498" t="s">
        <v>509</v>
      </c>
      <c r="B7" s="499" t="s">
        <v>510</v>
      </c>
      <c r="C7" s="509" t="s">
        <v>511</v>
      </c>
      <c r="D7" s="510" t="s">
        <v>512</v>
      </c>
    </row>
    <row r="8" spans="1:4" ht="18" customHeight="1">
      <c r="A8" s="556" t="s">
        <v>379</v>
      </c>
      <c r="B8" s="558">
        <f>HLOOKUP($E$1,'营业费用'!$D$5:$W$74,6)</f>
        <v>0</v>
      </c>
      <c r="C8" s="560">
        <f>HLOOKUP($E$1,'营业费用'!$D$5:$W$74,40)</f>
        <v>0</v>
      </c>
      <c r="D8" s="564">
        <f>HLOOKUP($E$1,'营业费用'!$D$5:$V$107,74)</f>
        <v>80</v>
      </c>
    </row>
    <row r="9" spans="1:4" ht="18" customHeight="1">
      <c r="A9" s="535" t="s">
        <v>380</v>
      </c>
      <c r="B9" s="559">
        <f>HLOOKUP($E$1,'营业费用'!$D$5:$W$74,7)</f>
        <v>600</v>
      </c>
      <c r="C9" s="561">
        <f>HLOOKUP($E$1,'营业费用'!$D$5:$W$74,41)</f>
        <v>600</v>
      </c>
      <c r="D9" s="565">
        <f>HLOOKUP($E$1,'营业费用'!$D$5:$V$107,75)</f>
        <v>90</v>
      </c>
    </row>
    <row r="10" spans="1:4" ht="18" customHeight="1">
      <c r="A10" s="535" t="s">
        <v>26</v>
      </c>
      <c r="B10" s="557">
        <f>HLOOKUP($E$1,'营业费用'!$D$5:$W$74,8)</f>
        <v>0</v>
      </c>
      <c r="C10" s="561">
        <f>HLOOKUP($E$1,'营业费用'!$D$5:$W$74,42)</f>
        <v>0</v>
      </c>
      <c r="D10" s="565">
        <f>HLOOKUP($E$1,'营业费用'!$D$5:$V$107,76)</f>
        <v>100</v>
      </c>
    </row>
    <row r="11" spans="1:4" ht="18" customHeight="1">
      <c r="A11" s="535" t="s">
        <v>381</v>
      </c>
      <c r="B11" s="557">
        <f>HLOOKUP($E$1,'营业费用'!$D$5:$W$74,9)</f>
        <v>0</v>
      </c>
      <c r="C11" s="561">
        <f>HLOOKUP($E$1,'营业费用'!$D$5:$W$74,43)</f>
        <v>0</v>
      </c>
      <c r="D11" s="565">
        <f>HLOOKUP($E$1,'营业费用'!$D$5:$V$107,77)</f>
        <v>110</v>
      </c>
    </row>
    <row r="12" spans="1:4" ht="18" customHeight="1">
      <c r="A12" s="535" t="s">
        <v>382</v>
      </c>
      <c r="B12" s="557">
        <f>HLOOKUP($E$1,'营业费用'!$D$5:$W$74,10)</f>
        <v>0</v>
      </c>
      <c r="C12" s="561">
        <f>HLOOKUP($E$1,'营业费用'!$D$5:$W$74,44)</f>
        <v>0</v>
      </c>
      <c r="D12" s="565">
        <f>HLOOKUP($E$1,'营业费用'!$D$5:$V$107,78)</f>
        <v>120</v>
      </c>
    </row>
    <row r="13" spans="1:4" ht="18" customHeight="1">
      <c r="A13" s="535" t="s">
        <v>513</v>
      </c>
      <c r="B13" s="557">
        <f>HLOOKUP($E$1,'营业费用'!$D$5:$W$74,11)</f>
        <v>0</v>
      </c>
      <c r="C13" s="561">
        <f>HLOOKUP($E$1,'营业费用'!$D$5:$W$74,45)</f>
        <v>0</v>
      </c>
      <c r="D13" s="565">
        <f>HLOOKUP($E$1,'营业费用'!$D$5:$V$107,79)</f>
        <v>130</v>
      </c>
    </row>
    <row r="14" spans="1:4" ht="18" customHeight="1">
      <c r="A14" s="535" t="s">
        <v>713</v>
      </c>
      <c r="B14" s="557">
        <f>HLOOKUP($E$1,'营业费用'!$D$5:$W$74,12)</f>
        <v>0</v>
      </c>
      <c r="C14" s="561">
        <f>HLOOKUP($E$1,'营业费用'!$D$5:$W$74,46)</f>
        <v>0</v>
      </c>
      <c r="D14" s="565">
        <f>HLOOKUP($E$1,'营业费用'!$D$5:$V$107,80)</f>
        <v>140</v>
      </c>
    </row>
    <row r="15" spans="1:4" ht="18" customHeight="1">
      <c r="A15" s="535" t="s">
        <v>520</v>
      </c>
      <c r="B15" s="557">
        <f>HLOOKUP($E$1,'营业费用'!$D$5:$W$74,13)</f>
        <v>0</v>
      </c>
      <c r="C15" s="561">
        <f>HLOOKUP($E$1,'营业费用'!$D$5:$W$74,47)</f>
        <v>0</v>
      </c>
      <c r="D15" s="565">
        <f>HLOOKUP($E$1,'营业费用'!$D$5:$V$107,81)</f>
        <v>150</v>
      </c>
    </row>
    <row r="16" spans="1:4" ht="18" customHeight="1">
      <c r="A16" s="535" t="s">
        <v>383</v>
      </c>
      <c r="B16" s="557">
        <f>HLOOKUP($E$1,'营业费用'!$D$5:$W$74,14)</f>
        <v>0</v>
      </c>
      <c r="C16" s="561">
        <f>HLOOKUP($E$1,'营业费用'!$D$5:$W$74,48)</f>
        <v>0</v>
      </c>
      <c r="D16" s="565">
        <f>HLOOKUP($E$1,'营业费用'!$D$5:$V$107,82)</f>
        <v>160</v>
      </c>
    </row>
    <row r="17" spans="1:4" ht="18" customHeight="1">
      <c r="A17" s="513" t="s">
        <v>1019</v>
      </c>
      <c r="B17" s="557">
        <f>HLOOKUP($E$1,'营业费用'!$D$5:$W$74,15)</f>
        <v>0</v>
      </c>
      <c r="C17" s="561">
        <f>HLOOKUP($E$1,'营业费用'!$D$5:$W$74,49)</f>
        <v>0</v>
      </c>
      <c r="D17" s="565">
        <f>HLOOKUP($E$1,'营业费用'!$D$5:$V$107,83)</f>
        <v>170</v>
      </c>
    </row>
    <row r="18" spans="1:4" ht="18" customHeight="1">
      <c r="A18" s="513"/>
      <c r="B18" s="501"/>
      <c r="C18" s="511"/>
      <c r="D18" s="512"/>
    </row>
    <row r="19" spans="1:4" ht="18" customHeight="1">
      <c r="A19" s="513"/>
      <c r="B19" s="501"/>
      <c r="C19" s="511"/>
      <c r="D19" s="512"/>
    </row>
    <row r="20" spans="1:4" ht="18" customHeight="1">
      <c r="A20" s="513"/>
      <c r="B20" s="501"/>
      <c r="C20" s="511"/>
      <c r="D20" s="512"/>
    </row>
    <row r="21" spans="1:4" ht="18" customHeight="1">
      <c r="A21" s="513"/>
      <c r="B21" s="501"/>
      <c r="C21" s="511"/>
      <c r="D21" s="512"/>
    </row>
    <row r="22" spans="1:4" ht="18" customHeight="1">
      <c r="A22" s="513"/>
      <c r="B22" s="501"/>
      <c r="C22" s="511"/>
      <c r="D22" s="512"/>
    </row>
    <row r="23" spans="1:4" ht="18" customHeight="1">
      <c r="A23" s="513"/>
      <c r="B23" s="501"/>
      <c r="C23" s="511"/>
      <c r="D23" s="512"/>
    </row>
    <row r="24" spans="1:5" ht="18" customHeight="1">
      <c r="A24" s="513"/>
      <c r="B24" s="501"/>
      <c r="C24" s="511"/>
      <c r="D24" s="512"/>
      <c r="E24" s="1" t="s">
        <v>514</v>
      </c>
    </row>
    <row r="25" spans="1:4" ht="18" customHeight="1">
      <c r="A25" s="513"/>
      <c r="B25" s="501"/>
      <c r="C25" s="511"/>
      <c r="D25" s="512"/>
    </row>
    <row r="26" spans="1:4" ht="18" customHeight="1">
      <c r="A26" s="513"/>
      <c r="B26" s="501"/>
      <c r="C26" s="511"/>
      <c r="D26" s="512"/>
    </row>
    <row r="27" spans="1:4" ht="18" customHeight="1">
      <c r="A27" s="513"/>
      <c r="B27" s="501"/>
      <c r="C27" s="511"/>
      <c r="D27" s="512"/>
    </row>
    <row r="28" spans="1:4" ht="18" customHeight="1">
      <c r="A28" s="514"/>
      <c r="B28" s="501"/>
      <c r="C28" s="511"/>
      <c r="D28" s="512"/>
    </row>
    <row r="29" spans="1:4" ht="18" customHeight="1">
      <c r="A29" s="515"/>
      <c r="B29" s="501"/>
      <c r="C29" s="511"/>
      <c r="D29" s="512"/>
    </row>
    <row r="30" spans="1:4" ht="18" customHeight="1">
      <c r="A30" s="516"/>
      <c r="B30" s="501"/>
      <c r="C30" s="511"/>
      <c r="D30" s="512"/>
    </row>
    <row r="31" spans="1:4" ht="18" customHeight="1">
      <c r="A31" s="517"/>
      <c r="B31" s="501"/>
      <c r="C31" s="511"/>
      <c r="D31" s="512"/>
    </row>
    <row r="32" spans="1:4" ht="18" customHeight="1">
      <c r="A32" s="517"/>
      <c r="B32" s="501"/>
      <c r="C32" s="511"/>
      <c r="D32" s="512"/>
    </row>
    <row r="33" spans="1:4" ht="18" customHeight="1">
      <c r="A33" s="562"/>
      <c r="B33" s="557"/>
      <c r="C33" s="561"/>
      <c r="D33" s="565"/>
    </row>
    <row r="34" spans="1:4" ht="18" customHeight="1" thickBot="1">
      <c r="A34" s="563" t="s">
        <v>334</v>
      </c>
      <c r="B34" s="519">
        <f>HLOOKUP($E$1,'营业费用'!$D$5:$W$74,34)</f>
        <v>600</v>
      </c>
      <c r="C34" s="520">
        <f>HLOOKUP($E$1,'营业费用'!$D$5:$W$74,68)</f>
        <v>600</v>
      </c>
      <c r="D34" s="521">
        <f>HLOOKUP($E$1,'营业费用'!$D$5:$W$108,102)</f>
        <v>1250</v>
      </c>
    </row>
    <row r="35" spans="1:4" ht="14.25">
      <c r="A35" s="522"/>
      <c r="B35" s="522"/>
      <c r="C35" s="522"/>
      <c r="D35" s="522"/>
    </row>
    <row r="36" spans="1:4" ht="14.25">
      <c r="A36" s="522"/>
      <c r="B36" s="523"/>
      <c r="C36" s="522"/>
      <c r="D36" s="522"/>
    </row>
    <row r="37" spans="1:4" ht="14.25">
      <c r="A37" s="522"/>
      <c r="B37" s="522"/>
      <c r="C37" s="522"/>
      <c r="D37"/>
    </row>
    <row r="38" spans="1:4" ht="14.25">
      <c r="A38" s="522"/>
      <c r="B38" s="522"/>
      <c r="C38" s="522"/>
      <c r="D38" s="522"/>
    </row>
    <row r="39" spans="1:4" ht="14.25">
      <c r="A39" s="522"/>
      <c r="B39" s="522"/>
      <c r="C39" s="522"/>
      <c r="D39" s="522"/>
    </row>
    <row r="40" spans="1:4" ht="14.25">
      <c r="A40" s="522"/>
      <c r="B40" s="522"/>
      <c r="C40" s="522"/>
      <c r="D40" s="522"/>
    </row>
    <row r="41" spans="1:4" ht="14.25">
      <c r="A41" s="522"/>
      <c r="B41" s="522"/>
      <c r="C41" s="522"/>
      <c r="D41" s="522"/>
    </row>
    <row r="42" spans="1:4" ht="14.25">
      <c r="A42" s="522"/>
      <c r="B42" s="522"/>
      <c r="C42" s="522"/>
      <c r="D42" s="522"/>
    </row>
    <row r="43" spans="1:4" ht="14.25">
      <c r="A43" s="522"/>
      <c r="B43" s="522"/>
      <c r="C43" s="522"/>
      <c r="D43" s="522"/>
    </row>
    <row r="44" spans="1:4" ht="14.25">
      <c r="A44" s="522"/>
      <c r="B44" s="522"/>
      <c r="C44" s="522"/>
      <c r="D44" s="522"/>
    </row>
    <row r="45" spans="1:4" ht="14.25">
      <c r="A45" s="522"/>
      <c r="B45" s="522"/>
      <c r="C45" s="522"/>
      <c r="D45" s="522"/>
    </row>
    <row r="46" spans="1:4" ht="14.25">
      <c r="A46" s="522"/>
      <c r="B46" s="522"/>
      <c r="C46" s="522"/>
      <c r="D46" s="522"/>
    </row>
    <row r="47" spans="1:4" ht="14.25">
      <c r="A47" s="522"/>
      <c r="B47" s="522"/>
      <c r="C47" s="522"/>
      <c r="D47" s="522"/>
    </row>
    <row r="48" spans="1:4" ht="14.25">
      <c r="A48" s="522"/>
      <c r="B48" s="522"/>
      <c r="C48" s="522"/>
      <c r="D48" s="522"/>
    </row>
    <row r="49" spans="1:4" ht="14.25">
      <c r="A49" s="522"/>
      <c r="B49" s="522"/>
      <c r="C49" s="522"/>
      <c r="D49" s="522"/>
    </row>
    <row r="50" spans="1:4" ht="14.25">
      <c r="A50" s="522"/>
      <c r="B50" s="522"/>
      <c r="C50" s="522"/>
      <c r="D50" s="522"/>
    </row>
    <row r="51" spans="1:4" ht="14.25">
      <c r="A51" s="522"/>
      <c r="B51" s="522"/>
      <c r="C51" s="522"/>
      <c r="D51" s="522"/>
    </row>
    <row r="52" spans="1:4" ht="14.25">
      <c r="A52" s="522"/>
      <c r="B52" s="522"/>
      <c r="C52" s="522"/>
      <c r="D52" s="522"/>
    </row>
    <row r="53" spans="1:4" ht="14.25">
      <c r="A53" s="522"/>
      <c r="B53" s="522"/>
      <c r="C53" s="522"/>
      <c r="D53" s="522"/>
    </row>
    <row r="54" spans="1:4" ht="14.25">
      <c r="A54" s="522"/>
      <c r="B54" s="522"/>
      <c r="C54" s="522"/>
      <c r="D54" s="522"/>
    </row>
    <row r="55" spans="1:4" ht="14.25">
      <c r="A55" s="522"/>
      <c r="B55" s="522"/>
      <c r="C55" s="522"/>
      <c r="D55" s="522"/>
    </row>
    <row r="56" spans="1:4" ht="14.25">
      <c r="A56" s="522"/>
      <c r="B56" s="522"/>
      <c r="C56" s="522"/>
      <c r="D56" s="522"/>
    </row>
    <row r="57" spans="1:4" ht="14.25">
      <c r="A57" s="522"/>
      <c r="B57" s="522"/>
      <c r="C57" s="522"/>
      <c r="D57" s="522"/>
    </row>
    <row r="58" spans="1:4" ht="14.25">
      <c r="A58" s="522"/>
      <c r="B58" s="522"/>
      <c r="C58" s="522"/>
      <c r="D58" s="522"/>
    </row>
    <row r="59" spans="1:4" ht="14.25">
      <c r="A59" s="522"/>
      <c r="B59" s="522"/>
      <c r="C59" s="522"/>
      <c r="D59" s="522"/>
    </row>
    <row r="60" spans="1:4" ht="14.25">
      <c r="A60" s="522"/>
      <c r="B60" s="522"/>
      <c r="C60" s="522"/>
      <c r="D60" s="522"/>
    </row>
    <row r="61" spans="1:4" ht="14.25">
      <c r="A61" s="522"/>
      <c r="B61" s="522"/>
      <c r="C61" s="522"/>
      <c r="D61" s="522"/>
    </row>
    <row r="62" spans="1:4" ht="14.25">
      <c r="A62" s="522"/>
      <c r="B62" s="522"/>
      <c r="C62" s="522"/>
      <c r="D62" s="522"/>
    </row>
    <row r="63" spans="1:4" ht="14.25">
      <c r="A63" s="522"/>
      <c r="B63" s="522"/>
      <c r="C63" s="522"/>
      <c r="D63" s="522"/>
    </row>
    <row r="64" spans="1:4" ht="14.25">
      <c r="A64" s="522"/>
      <c r="B64" s="522"/>
      <c r="C64" s="522"/>
      <c r="D64" s="522"/>
    </row>
    <row r="65" spans="1:4" ht="14.25">
      <c r="A65" s="522"/>
      <c r="B65" s="522"/>
      <c r="C65" s="522"/>
      <c r="D65" s="522"/>
    </row>
    <row r="66" spans="1:4" ht="14.25">
      <c r="A66" s="522"/>
      <c r="B66" s="522"/>
      <c r="C66" s="522"/>
      <c r="D66" s="522"/>
    </row>
    <row r="67" spans="1:4" ht="14.25">
      <c r="A67" s="522"/>
      <c r="B67" s="522"/>
      <c r="C67" s="522"/>
      <c r="D67" s="522"/>
    </row>
    <row r="68" spans="1:4" ht="14.25">
      <c r="A68" s="522"/>
      <c r="B68" s="522"/>
      <c r="C68" s="522"/>
      <c r="D68" s="522"/>
    </row>
    <row r="69" spans="1:4" ht="14.25">
      <c r="A69" s="522"/>
      <c r="B69" s="522"/>
      <c r="C69" s="522"/>
      <c r="D69" s="522"/>
    </row>
    <row r="70" spans="1:4" ht="14.25">
      <c r="A70" s="522"/>
      <c r="B70" s="522"/>
      <c r="C70" s="522"/>
      <c r="D70" s="522"/>
    </row>
    <row r="71" spans="1:4" ht="14.25">
      <c r="A71" s="522"/>
      <c r="B71" s="522"/>
      <c r="C71" s="522"/>
      <c r="D71" s="522"/>
    </row>
    <row r="72" spans="1:4" ht="14.25">
      <c r="A72" s="522"/>
      <c r="B72" s="522"/>
      <c r="C72" s="522"/>
      <c r="D72" s="522"/>
    </row>
  </sheetData>
  <sheetProtection/>
  <mergeCells count="2">
    <mergeCell ref="F2:G2"/>
    <mergeCell ref="F3:G3"/>
  </mergeCells>
  <printOptions horizontalCentered="1"/>
  <pageMargins left="0.2362204724409449" right="0.1968503937007874" top="0.984251968503937" bottom="0.6299212598425197" header="0.5118110236220472" footer="0.5118110236220472"/>
  <pageSetup horizontalDpi="180" verticalDpi="18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8"/>
  <dimension ref="A1:V142"/>
  <sheetViews>
    <sheetView showZeros="0" workbookViewId="0" topLeftCell="A5">
      <pane xSplit="3" ySplit="5" topLeftCell="D10" activePane="bottomRight" state="frozen"/>
      <selection pane="topLeft" activeCell="A5" sqref="A5"/>
      <selection pane="topRight" activeCell="D5" sqref="D5"/>
      <selection pane="bottomLeft" activeCell="A10" sqref="A10"/>
      <selection pane="bottomRight" activeCell="AB20" sqref="AB20"/>
    </sheetView>
  </sheetViews>
  <sheetFormatPr defaultColWidth="9.00390625" defaultRowHeight="14.25"/>
  <cols>
    <col min="1" max="1" width="7.125" style="0" customWidth="1"/>
    <col min="2" max="2" width="13.00390625" style="0" customWidth="1"/>
    <col min="3" max="3" width="8.25390625" style="0" customWidth="1"/>
    <col min="4" max="4" width="12.875" style="0" customWidth="1"/>
    <col min="5" max="5" width="13.125" style="0" customWidth="1"/>
    <col min="6" max="14" width="11.50390625" style="0" customWidth="1"/>
    <col min="15" max="16" width="14.125" style="0" bestFit="1" customWidth="1"/>
    <col min="17" max="19" width="11.50390625" style="0" customWidth="1"/>
    <col min="20" max="20" width="12.625" style="0" customWidth="1"/>
    <col min="21" max="21" width="13.375" style="0" customWidth="1"/>
    <col min="22" max="22" width="9.75390625" style="0" customWidth="1"/>
    <col min="23" max="23" width="1.4921875" style="0" customWidth="1"/>
    <col min="24" max="24" width="11.50390625" style="0" customWidth="1"/>
    <col min="25" max="25" width="12.125" style="0" customWidth="1"/>
    <col min="26" max="26" width="1.4921875" style="0" customWidth="1"/>
    <col min="27" max="27" width="11.50390625" style="0" customWidth="1"/>
    <col min="28" max="28" width="12.125" style="0" customWidth="1"/>
    <col min="29" max="29" width="1.4921875" style="0" customWidth="1"/>
    <col min="30" max="30" width="11.50390625" style="0" customWidth="1"/>
    <col min="31" max="31" width="12.125" style="0" customWidth="1"/>
    <col min="32" max="32" width="1.4921875" style="0" customWidth="1"/>
    <col min="33" max="33" width="11.50390625" style="0" customWidth="1"/>
    <col min="34" max="34" width="12.125" style="0" customWidth="1"/>
    <col min="35" max="35" width="1.4921875" style="0" customWidth="1"/>
    <col min="36" max="36" width="13.00390625" style="0" customWidth="1"/>
    <col min="37" max="37" width="12.125" style="0" customWidth="1"/>
    <col min="38" max="38" width="1.4921875" style="0" customWidth="1"/>
    <col min="39" max="39" width="13.00390625" style="0" customWidth="1"/>
    <col min="40" max="40" width="12.125" style="0" customWidth="1"/>
    <col min="41" max="41" width="1.4921875" style="0" customWidth="1"/>
    <col min="42" max="42" width="11.50390625" style="0" customWidth="1"/>
  </cols>
  <sheetData>
    <row r="1" spans="1:22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1">
      <c r="A2" s="3"/>
      <c r="B2" s="3"/>
      <c r="C2" s="986" t="s">
        <v>1021</v>
      </c>
      <c r="D2" s="986"/>
      <c r="E2" s="98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>
      <c r="A3" s="3"/>
      <c r="B3" s="3"/>
      <c r="C3" s="987" t="s">
        <v>1022</v>
      </c>
      <c r="D3" s="987"/>
      <c r="E3" s="98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14" customFormat="1" ht="16.5" thickBot="1">
      <c r="A5" s="15"/>
      <c r="B5" s="15"/>
      <c r="C5" s="15"/>
      <c r="D5" s="250">
        <v>1</v>
      </c>
      <c r="E5" s="251">
        <v>2</v>
      </c>
      <c r="F5" s="250">
        <v>3</v>
      </c>
      <c r="G5" s="186" t="s">
        <v>1023</v>
      </c>
      <c r="H5" s="250">
        <v>4</v>
      </c>
      <c r="I5" s="252">
        <v>5</v>
      </c>
      <c r="J5" s="252">
        <v>6</v>
      </c>
      <c r="K5" s="186" t="s">
        <v>1024</v>
      </c>
      <c r="L5" s="186" t="s">
        <v>13</v>
      </c>
      <c r="M5" s="253">
        <v>7</v>
      </c>
      <c r="N5" s="16">
        <v>8</v>
      </c>
      <c r="O5" s="16">
        <v>9</v>
      </c>
      <c r="P5" s="313" t="s">
        <v>14</v>
      </c>
      <c r="Q5" s="16">
        <v>10</v>
      </c>
      <c r="R5" s="16">
        <v>11</v>
      </c>
      <c r="S5" s="16">
        <v>12</v>
      </c>
      <c r="T5" s="313" t="s">
        <v>15</v>
      </c>
      <c r="U5" s="313" t="s">
        <v>16</v>
      </c>
      <c r="V5" s="15"/>
    </row>
    <row r="6" spans="1:21" ht="15" customHeight="1" thickTop="1">
      <c r="A6" s="973" t="s">
        <v>1025</v>
      </c>
      <c r="B6" s="975" t="s">
        <v>1026</v>
      </c>
      <c r="C6" s="254"/>
      <c r="D6" s="152">
        <v>38718</v>
      </c>
      <c r="E6" s="153">
        <v>38750</v>
      </c>
      <c r="F6" s="153">
        <v>38779</v>
      </c>
      <c r="G6" s="314" t="s">
        <v>421</v>
      </c>
      <c r="H6" s="153">
        <v>38811</v>
      </c>
      <c r="I6" s="153">
        <v>38842</v>
      </c>
      <c r="J6" s="153">
        <v>38874</v>
      </c>
      <c r="K6" s="314" t="s">
        <v>430</v>
      </c>
      <c r="L6" s="314" t="s">
        <v>423</v>
      </c>
      <c r="M6" s="153">
        <v>38905</v>
      </c>
      <c r="N6" s="153">
        <v>38937</v>
      </c>
      <c r="O6" s="153">
        <v>38969</v>
      </c>
      <c r="P6" s="316" t="s">
        <v>427</v>
      </c>
      <c r="Q6" s="153">
        <v>39000</v>
      </c>
      <c r="R6" s="153">
        <v>39032</v>
      </c>
      <c r="S6" s="369">
        <v>39063</v>
      </c>
      <c r="T6" s="316" t="s">
        <v>428</v>
      </c>
      <c r="U6" s="370" t="s">
        <v>429</v>
      </c>
    </row>
    <row r="7" spans="1:21" ht="15.75" thickBot="1">
      <c r="A7" s="974"/>
      <c r="B7" s="976"/>
      <c r="C7" s="258"/>
      <c r="D7" s="371" t="s">
        <v>763</v>
      </c>
      <c r="E7" s="372" t="s">
        <v>764</v>
      </c>
      <c r="F7" s="373" t="s">
        <v>765</v>
      </c>
      <c r="G7" s="320" t="s">
        <v>809</v>
      </c>
      <c r="H7" s="372" t="s">
        <v>766</v>
      </c>
      <c r="I7" s="372" t="s">
        <v>767</v>
      </c>
      <c r="J7" s="372" t="s">
        <v>768</v>
      </c>
      <c r="K7" s="320" t="s">
        <v>810</v>
      </c>
      <c r="L7" s="320" t="s">
        <v>17</v>
      </c>
      <c r="M7" s="372" t="s">
        <v>769</v>
      </c>
      <c r="N7" s="372" t="s">
        <v>770</v>
      </c>
      <c r="O7" s="372" t="s">
        <v>771</v>
      </c>
      <c r="P7" s="321" t="s">
        <v>18</v>
      </c>
      <c r="Q7" s="372" t="s">
        <v>772</v>
      </c>
      <c r="R7" s="372" t="s">
        <v>773</v>
      </c>
      <c r="S7" s="374" t="s">
        <v>774</v>
      </c>
      <c r="T7" s="321" t="s">
        <v>19</v>
      </c>
      <c r="U7" s="375" t="s">
        <v>20</v>
      </c>
    </row>
    <row r="8" spans="1:21" ht="15.75">
      <c r="A8" s="981" t="s">
        <v>41</v>
      </c>
      <c r="B8" s="976" t="s">
        <v>1027</v>
      </c>
      <c r="C8" s="258"/>
      <c r="D8" s="263" t="s">
        <v>1028</v>
      </c>
      <c r="E8" s="264" t="s">
        <v>811</v>
      </c>
      <c r="F8" s="264" t="s">
        <v>811</v>
      </c>
      <c r="G8" s="326" t="s">
        <v>812</v>
      </c>
      <c r="H8" s="264" t="s">
        <v>811</v>
      </c>
      <c r="I8" s="264" t="s">
        <v>811</v>
      </c>
      <c r="J8" s="264" t="s">
        <v>811</v>
      </c>
      <c r="K8" s="326" t="s">
        <v>812</v>
      </c>
      <c r="L8" s="326" t="s">
        <v>21</v>
      </c>
      <c r="M8" s="264" t="s">
        <v>811</v>
      </c>
      <c r="N8" s="264" t="s">
        <v>811</v>
      </c>
      <c r="O8" s="264" t="s">
        <v>811</v>
      </c>
      <c r="P8" s="326" t="s">
        <v>22</v>
      </c>
      <c r="Q8" s="264" t="s">
        <v>811</v>
      </c>
      <c r="R8" s="264" t="s">
        <v>811</v>
      </c>
      <c r="S8" s="325" t="s">
        <v>811</v>
      </c>
      <c r="T8" s="326" t="s">
        <v>22</v>
      </c>
      <c r="U8" s="376" t="s">
        <v>23</v>
      </c>
    </row>
    <row r="9" spans="1:21" ht="15" customHeight="1" thickBot="1">
      <c r="A9" s="982"/>
      <c r="B9" s="977"/>
      <c r="C9" s="266"/>
      <c r="D9" s="267" t="s">
        <v>1029</v>
      </c>
      <c r="E9" s="268" t="s">
        <v>1029</v>
      </c>
      <c r="F9" s="268" t="s">
        <v>1029</v>
      </c>
      <c r="G9" s="331" t="s">
        <v>12</v>
      </c>
      <c r="H9" s="268" t="s">
        <v>1029</v>
      </c>
      <c r="I9" s="268" t="s">
        <v>1029</v>
      </c>
      <c r="J9" s="268" t="s">
        <v>1029</v>
      </c>
      <c r="K9" s="331" t="s">
        <v>12</v>
      </c>
      <c r="L9" s="333" t="s">
        <v>12</v>
      </c>
      <c r="M9" s="268" t="s">
        <v>1029</v>
      </c>
      <c r="N9" s="268" t="s">
        <v>1029</v>
      </c>
      <c r="O9" s="268" t="s">
        <v>1029</v>
      </c>
      <c r="P9" s="334" t="s">
        <v>12</v>
      </c>
      <c r="Q9" s="268" t="s">
        <v>1029</v>
      </c>
      <c r="R9" s="268" t="s">
        <v>1029</v>
      </c>
      <c r="S9" s="330" t="s">
        <v>1029</v>
      </c>
      <c r="T9" s="334" t="s">
        <v>12</v>
      </c>
      <c r="U9" s="377" t="s">
        <v>12</v>
      </c>
    </row>
    <row r="10" spans="1:21" ht="15" thickTop="1">
      <c r="A10" s="270">
        <v>1</v>
      </c>
      <c r="B10" s="378" t="s">
        <v>713</v>
      </c>
      <c r="C10" s="379"/>
      <c r="D10" s="683">
        <f>'记账凭证汇总'!E138-'记账凭证汇总'!F138</f>
        <v>500</v>
      </c>
      <c r="E10" s="684">
        <f>'记账凭证汇总'!I138-'记账凭证汇总'!J138</f>
        <v>0</v>
      </c>
      <c r="F10" s="685">
        <f>'记账凭证汇总'!M138-'记账凭证汇总'!N138</f>
        <v>0</v>
      </c>
      <c r="G10" s="337">
        <f>D10+E10+F10</f>
        <v>500</v>
      </c>
      <c r="H10" s="275">
        <f>'记账凭证汇总'!Q138-'记账凭证汇总'!R138</f>
        <v>0</v>
      </c>
      <c r="I10" s="275">
        <f>'记账凭证汇总'!U138-'记账凭证汇总'!V138</f>
        <v>0</v>
      </c>
      <c r="J10" s="275">
        <f>'记账凭证汇总'!Y138-'记账凭证汇总'!Z138</f>
        <v>0</v>
      </c>
      <c r="K10" s="337">
        <f>H10+I10+J10</f>
        <v>0</v>
      </c>
      <c r="L10" s="337">
        <f>G10+K10</f>
        <v>500</v>
      </c>
      <c r="M10" s="275">
        <f>'记账凭证汇总'!AC138-'记账凭证汇总'!AD138</f>
        <v>0</v>
      </c>
      <c r="N10" s="275">
        <f>'记账凭证汇总'!AG138-'记账凭证汇总'!AH138</f>
        <v>0</v>
      </c>
      <c r="O10" s="275">
        <f>'记账凭证汇总'!AK138-'记账凭证汇总'!AL138</f>
        <v>0</v>
      </c>
      <c r="P10" s="337">
        <f>M10+N10+O10</f>
        <v>0</v>
      </c>
      <c r="Q10" s="275">
        <f>'记账凭证汇总'!AO138-'记账凭证汇总'!AP138</f>
        <v>0</v>
      </c>
      <c r="R10" s="275">
        <f>'记账凭证汇总'!AS138-'记账凭证汇总'!AT138</f>
        <v>0</v>
      </c>
      <c r="S10" s="275">
        <f>'记账凭证汇总'!AW138-'记账凭证汇总'!AX138</f>
        <v>0</v>
      </c>
      <c r="T10" s="337">
        <f>Q10+R10+S10</f>
        <v>0</v>
      </c>
      <c r="U10" s="338">
        <f>P10+T10</f>
        <v>0</v>
      </c>
    </row>
    <row r="11" spans="1:21" ht="14.25">
      <c r="A11" s="277">
        <v>2</v>
      </c>
      <c r="B11" s="378" t="s">
        <v>520</v>
      </c>
      <c r="C11" s="380"/>
      <c r="D11" s="381">
        <f>'记账凭证汇总'!E139-'记账凭证汇总'!F139</f>
        <v>0</v>
      </c>
      <c r="E11" s="279">
        <f>'记账凭证汇总'!I139-'记账凭证汇总'!J139</f>
        <v>0</v>
      </c>
      <c r="F11" s="163">
        <f>'记账凭证汇总'!M139-'记账凭证汇总'!N139</f>
        <v>0</v>
      </c>
      <c r="G11" s="341">
        <f aca="true" t="shared" si="0" ref="G11:G44">D11+E11+F11</f>
        <v>0</v>
      </c>
      <c r="H11" s="163">
        <f>'记账凭证汇总'!Q139-'记账凭证汇总'!R139</f>
        <v>0</v>
      </c>
      <c r="I11" s="163">
        <f>'记账凭证汇总'!U139-'记账凭证汇总'!V139</f>
        <v>0</v>
      </c>
      <c r="J11" s="163">
        <f>'记账凭证汇总'!Y139-'记账凭证汇总'!Z139</f>
        <v>0</v>
      </c>
      <c r="K11" s="341">
        <f aca="true" t="shared" si="1" ref="K11:K44">H11+I11+J11</f>
        <v>0</v>
      </c>
      <c r="L11" s="341">
        <f aca="true" t="shared" si="2" ref="L11:L44">G11+K11</f>
        <v>0</v>
      </c>
      <c r="M11" s="163">
        <f>'记账凭证汇总'!AC139-'记账凭证汇总'!AD139</f>
        <v>0</v>
      </c>
      <c r="N11" s="163">
        <f>'记账凭证汇总'!AG139-'记账凭证汇总'!AH139</f>
        <v>0</v>
      </c>
      <c r="O11" s="163">
        <f>'记账凭证汇总'!AK139-'记账凭证汇总'!AL139</f>
        <v>0</v>
      </c>
      <c r="P11" s="341">
        <f aca="true" t="shared" si="3" ref="P11:P44">M11+N11+O11</f>
        <v>0</v>
      </c>
      <c r="Q11" s="163">
        <f>'记账凭证汇总'!AO139-'记账凭证汇总'!AP139</f>
        <v>0</v>
      </c>
      <c r="R11" s="163">
        <f>'记账凭证汇总'!AS139-'记账凭证汇总'!AT139</f>
        <v>0</v>
      </c>
      <c r="S11" s="163">
        <f>'记账凭证汇总'!AW139-'记账凭证汇总'!AX139</f>
        <v>0</v>
      </c>
      <c r="T11" s="341">
        <f aca="true" t="shared" si="4" ref="T11:T44">Q11+R11+S11</f>
        <v>0</v>
      </c>
      <c r="U11" s="342">
        <f aca="true" t="shared" si="5" ref="U11:U44">P11+T11</f>
        <v>0</v>
      </c>
    </row>
    <row r="12" spans="1:21" ht="14.25">
      <c r="A12" s="277">
        <v>3</v>
      </c>
      <c r="B12" s="378" t="s">
        <v>31</v>
      </c>
      <c r="C12" s="380"/>
      <c r="D12" s="381">
        <f>'记账凭证汇总'!E140-'记账凭证汇总'!F140</f>
        <v>0</v>
      </c>
      <c r="E12" s="279">
        <f>'记账凭证汇总'!I140-'记账凭证汇总'!J140</f>
        <v>0</v>
      </c>
      <c r="F12" s="163">
        <f>'记账凭证汇总'!M140-'记账凭证汇总'!N140</f>
        <v>0</v>
      </c>
      <c r="G12" s="341">
        <f t="shared" si="0"/>
        <v>0</v>
      </c>
      <c r="H12" s="163">
        <f>'记账凭证汇总'!Q140-'记账凭证汇总'!R140</f>
        <v>0</v>
      </c>
      <c r="I12" s="163">
        <f>'记账凭证汇总'!U140-'记账凭证汇总'!V140</f>
        <v>0</v>
      </c>
      <c r="J12" s="163">
        <f>'记账凭证汇总'!Y140-'记账凭证汇总'!Z140</f>
        <v>0</v>
      </c>
      <c r="K12" s="341">
        <f t="shared" si="1"/>
        <v>0</v>
      </c>
      <c r="L12" s="341">
        <f t="shared" si="2"/>
        <v>0</v>
      </c>
      <c r="M12" s="163">
        <f>'记账凭证汇总'!AC140-'记账凭证汇总'!AD140</f>
        <v>0</v>
      </c>
      <c r="N12" s="163">
        <f>'记账凭证汇总'!AG140-'记账凭证汇总'!AH140</f>
        <v>0</v>
      </c>
      <c r="O12" s="163">
        <f>'记账凭证汇总'!AK140-'记账凭证汇总'!AL140</f>
        <v>0</v>
      </c>
      <c r="P12" s="341">
        <f t="shared" si="3"/>
        <v>0</v>
      </c>
      <c r="Q12" s="163">
        <f>'记账凭证汇总'!AO140-'记账凭证汇总'!AP140</f>
        <v>0</v>
      </c>
      <c r="R12" s="163">
        <f>'记账凭证汇总'!AS140-'记账凭证汇总'!AT140</f>
        <v>0</v>
      </c>
      <c r="S12" s="163">
        <f>'记账凭证汇总'!AW140-'记账凭证汇总'!AX140</f>
        <v>0</v>
      </c>
      <c r="T12" s="341">
        <f t="shared" si="4"/>
        <v>0</v>
      </c>
      <c r="U12" s="342">
        <f t="shared" si="5"/>
        <v>0</v>
      </c>
    </row>
    <row r="13" spans="1:21" ht="14.25">
      <c r="A13" s="277">
        <v>4</v>
      </c>
      <c r="B13" s="378" t="s">
        <v>30</v>
      </c>
      <c r="C13" s="380"/>
      <c r="D13" s="381">
        <f>'记账凭证汇总'!E141-'记账凭证汇总'!F141</f>
        <v>0</v>
      </c>
      <c r="E13" s="279">
        <f>'记账凭证汇总'!I141-'记账凭证汇总'!J141</f>
        <v>0</v>
      </c>
      <c r="F13" s="163">
        <f>'记账凭证汇总'!M141-'记账凭证汇总'!N141</f>
        <v>0</v>
      </c>
      <c r="G13" s="341">
        <f t="shared" si="0"/>
        <v>0</v>
      </c>
      <c r="H13" s="163">
        <f>'记账凭证汇总'!Q141-'记账凭证汇总'!R141</f>
        <v>0</v>
      </c>
      <c r="I13" s="163">
        <f>'记账凭证汇总'!U141-'记账凭证汇总'!V141</f>
        <v>0</v>
      </c>
      <c r="J13" s="163">
        <f>'记账凭证汇总'!Y141-'记账凭证汇总'!Z141</f>
        <v>0</v>
      </c>
      <c r="K13" s="341">
        <f t="shared" si="1"/>
        <v>0</v>
      </c>
      <c r="L13" s="341">
        <f t="shared" si="2"/>
        <v>0</v>
      </c>
      <c r="M13" s="163">
        <f>'记账凭证汇总'!AC141-'记账凭证汇总'!AD141</f>
        <v>0</v>
      </c>
      <c r="N13" s="163">
        <f>'记账凭证汇总'!AG141-'记账凭证汇总'!AH141</f>
        <v>0</v>
      </c>
      <c r="O13" s="163">
        <f>'记账凭证汇总'!AK141-'记账凭证汇总'!AL141</f>
        <v>0</v>
      </c>
      <c r="P13" s="341">
        <f t="shared" si="3"/>
        <v>0</v>
      </c>
      <c r="Q13" s="163">
        <f>'记账凭证汇总'!AO141-'记账凭证汇总'!AP141</f>
        <v>0</v>
      </c>
      <c r="R13" s="163">
        <f>'记账凭证汇总'!AS141-'记账凭证汇总'!AT141</f>
        <v>0</v>
      </c>
      <c r="S13" s="163">
        <f>'记账凭证汇总'!AW141-'记账凭证汇总'!AX141</f>
        <v>0</v>
      </c>
      <c r="T13" s="341">
        <f t="shared" si="4"/>
        <v>0</v>
      </c>
      <c r="U13" s="342">
        <f t="shared" si="5"/>
        <v>0</v>
      </c>
    </row>
    <row r="14" spans="1:21" ht="14.25">
      <c r="A14" s="277">
        <v>5</v>
      </c>
      <c r="B14" s="378" t="s">
        <v>25</v>
      </c>
      <c r="C14" s="380"/>
      <c r="D14" s="381">
        <f>'记账凭证汇总'!E142-'记账凭证汇总'!F142</f>
        <v>0</v>
      </c>
      <c r="E14" s="279">
        <f>'记账凭证汇总'!I142-'记账凭证汇总'!J142</f>
        <v>0</v>
      </c>
      <c r="F14" s="163">
        <f>'记账凭证汇总'!M142-'记账凭证汇总'!N142</f>
        <v>0</v>
      </c>
      <c r="G14" s="341">
        <f t="shared" si="0"/>
        <v>0</v>
      </c>
      <c r="H14" s="163">
        <f>'记账凭证汇总'!Q142-'记账凭证汇总'!R142</f>
        <v>0</v>
      </c>
      <c r="I14" s="163">
        <f>'记账凭证汇总'!U142-'记账凭证汇总'!V142</f>
        <v>0</v>
      </c>
      <c r="J14" s="163">
        <f>'记账凭证汇总'!Y142-'记账凭证汇总'!Z142</f>
        <v>0</v>
      </c>
      <c r="K14" s="341">
        <f t="shared" si="1"/>
        <v>0</v>
      </c>
      <c r="L14" s="341">
        <f t="shared" si="2"/>
        <v>0</v>
      </c>
      <c r="M14" s="163">
        <f>'记账凭证汇总'!AC142-'记账凭证汇总'!AD142</f>
        <v>0</v>
      </c>
      <c r="N14" s="163">
        <f>'记账凭证汇总'!AG142-'记账凭证汇总'!AH142</f>
        <v>0</v>
      </c>
      <c r="O14" s="163">
        <f>'记账凭证汇总'!AK142-'记账凭证汇总'!AL142</f>
        <v>0</v>
      </c>
      <c r="P14" s="341">
        <f t="shared" si="3"/>
        <v>0</v>
      </c>
      <c r="Q14" s="163">
        <f>'记账凭证汇总'!AO142-'记账凭证汇总'!AP142</f>
        <v>0</v>
      </c>
      <c r="R14" s="163">
        <f>'记账凭证汇总'!AS142-'记账凭证汇总'!AT142</f>
        <v>0</v>
      </c>
      <c r="S14" s="163">
        <f>'记账凭证汇总'!AW142-'记账凭证汇总'!AX142</f>
        <v>0</v>
      </c>
      <c r="T14" s="341">
        <f t="shared" si="4"/>
        <v>0</v>
      </c>
      <c r="U14" s="342">
        <f t="shared" si="5"/>
        <v>0</v>
      </c>
    </row>
    <row r="15" spans="1:21" ht="14.25">
      <c r="A15" s="277">
        <v>6</v>
      </c>
      <c r="B15" s="378" t="s">
        <v>694</v>
      </c>
      <c r="C15" s="380"/>
      <c r="D15" s="381">
        <f>'记账凭证汇总'!E143-'记账凭证汇总'!F143</f>
        <v>0</v>
      </c>
      <c r="E15" s="279">
        <f>'记账凭证汇总'!I143-'记账凭证汇总'!J143</f>
        <v>0</v>
      </c>
      <c r="F15" s="163">
        <f>'记账凭证汇总'!M143-'记账凭证汇总'!N143</f>
        <v>0</v>
      </c>
      <c r="G15" s="341">
        <f t="shared" si="0"/>
        <v>0</v>
      </c>
      <c r="H15" s="163">
        <f>'记账凭证汇总'!Q143-'记账凭证汇总'!R143</f>
        <v>0</v>
      </c>
      <c r="I15" s="163">
        <f>'记账凭证汇总'!U143-'记账凭证汇总'!V143</f>
        <v>0</v>
      </c>
      <c r="J15" s="163">
        <f>'记账凭证汇总'!Y143-'记账凭证汇总'!Z143</f>
        <v>0</v>
      </c>
      <c r="K15" s="341">
        <f t="shared" si="1"/>
        <v>0</v>
      </c>
      <c r="L15" s="341">
        <f t="shared" si="2"/>
        <v>0</v>
      </c>
      <c r="M15" s="163">
        <f>'记账凭证汇总'!AC143-'记账凭证汇总'!AD143</f>
        <v>0</v>
      </c>
      <c r="N15" s="163">
        <f>'记账凭证汇总'!AG143-'记账凭证汇总'!AH143</f>
        <v>0</v>
      </c>
      <c r="O15" s="163">
        <f>'记账凭证汇总'!AK143-'记账凭证汇总'!AL143</f>
        <v>0</v>
      </c>
      <c r="P15" s="341">
        <f t="shared" si="3"/>
        <v>0</v>
      </c>
      <c r="Q15" s="163">
        <f>'记账凭证汇总'!AO143-'记账凭证汇总'!AP143</f>
        <v>0</v>
      </c>
      <c r="R15" s="163">
        <f>'记账凭证汇总'!AS143-'记账凭证汇总'!AT143</f>
        <v>0</v>
      </c>
      <c r="S15" s="163">
        <f>'记账凭证汇总'!AW143-'记账凭证汇总'!AX143</f>
        <v>0</v>
      </c>
      <c r="T15" s="341">
        <f t="shared" si="4"/>
        <v>0</v>
      </c>
      <c r="U15" s="342">
        <f t="shared" si="5"/>
        <v>0</v>
      </c>
    </row>
    <row r="16" spans="1:21" ht="14.25">
      <c r="A16" s="277">
        <v>7</v>
      </c>
      <c r="B16" s="378" t="s">
        <v>1017</v>
      </c>
      <c r="C16" s="380"/>
      <c r="D16" s="381">
        <f>'记账凭证汇总'!E144-'记账凭证汇总'!F144</f>
        <v>0</v>
      </c>
      <c r="E16" s="279">
        <f>'记账凭证汇总'!I144-'记账凭证汇总'!J144</f>
        <v>0</v>
      </c>
      <c r="F16" s="163">
        <f>'记账凭证汇总'!M144-'记账凭证汇总'!N144</f>
        <v>0</v>
      </c>
      <c r="G16" s="341">
        <f t="shared" si="0"/>
        <v>0</v>
      </c>
      <c r="H16" s="163">
        <f>'记账凭证汇总'!Q144-'记账凭证汇总'!R144</f>
        <v>0</v>
      </c>
      <c r="I16" s="163">
        <f>'记账凭证汇总'!U144-'记账凭证汇总'!V144</f>
        <v>0</v>
      </c>
      <c r="J16" s="163">
        <f>'记账凭证汇总'!Y144-'记账凭证汇总'!Z144</f>
        <v>0</v>
      </c>
      <c r="K16" s="341">
        <f t="shared" si="1"/>
        <v>0</v>
      </c>
      <c r="L16" s="341">
        <f t="shared" si="2"/>
        <v>0</v>
      </c>
      <c r="M16" s="163">
        <f>'记账凭证汇总'!AC144-'记账凭证汇总'!AD144</f>
        <v>0</v>
      </c>
      <c r="N16" s="163">
        <f>'记账凭证汇总'!AG144-'记账凭证汇总'!AH144</f>
        <v>0</v>
      </c>
      <c r="O16" s="163">
        <f>'记账凭证汇总'!AK144-'记账凭证汇总'!AL144</f>
        <v>0</v>
      </c>
      <c r="P16" s="341">
        <f t="shared" si="3"/>
        <v>0</v>
      </c>
      <c r="Q16" s="163">
        <f>'记账凭证汇总'!AO144-'记账凭证汇总'!AP144</f>
        <v>0</v>
      </c>
      <c r="R16" s="163">
        <f>'记账凭证汇总'!AS144-'记账凭证汇总'!AT144</f>
        <v>0</v>
      </c>
      <c r="S16" s="163">
        <f>'记账凭证汇总'!AW144-'记账凭证汇总'!AX144</f>
        <v>0</v>
      </c>
      <c r="T16" s="341">
        <f t="shared" si="4"/>
        <v>0</v>
      </c>
      <c r="U16" s="342">
        <f t="shared" si="5"/>
        <v>0</v>
      </c>
    </row>
    <row r="17" spans="1:21" ht="14.25">
      <c r="A17" s="277">
        <v>8</v>
      </c>
      <c r="B17" s="378" t="s">
        <v>1018</v>
      </c>
      <c r="C17" s="380"/>
      <c r="D17" s="381">
        <f>'记账凭证汇总'!E145-'记账凭证汇总'!F145</f>
        <v>0</v>
      </c>
      <c r="E17" s="279">
        <f>'记账凭证汇总'!I145-'记账凭证汇总'!J145</f>
        <v>0</v>
      </c>
      <c r="F17" s="163">
        <f>'记账凭证汇总'!M145-'记账凭证汇总'!N145</f>
        <v>0</v>
      </c>
      <c r="G17" s="341">
        <f t="shared" si="0"/>
        <v>0</v>
      </c>
      <c r="H17" s="163">
        <f>'记账凭证汇总'!Q145-'记账凭证汇总'!R145</f>
        <v>0</v>
      </c>
      <c r="I17" s="163">
        <f>'记账凭证汇总'!U145-'记账凭证汇总'!V145</f>
        <v>0</v>
      </c>
      <c r="J17" s="163">
        <f>'记账凭证汇总'!Y145-'记账凭证汇总'!Z145</f>
        <v>0</v>
      </c>
      <c r="K17" s="341">
        <f t="shared" si="1"/>
        <v>0</v>
      </c>
      <c r="L17" s="341">
        <f t="shared" si="2"/>
        <v>0</v>
      </c>
      <c r="M17" s="163">
        <f>'记账凭证汇总'!AC145-'记账凭证汇总'!AD145</f>
        <v>0</v>
      </c>
      <c r="N17" s="163">
        <f>'记账凭证汇总'!AG145-'记账凭证汇总'!AH145</f>
        <v>0</v>
      </c>
      <c r="O17" s="163">
        <f>'记账凭证汇总'!AK145-'记账凭证汇总'!AL145</f>
        <v>0</v>
      </c>
      <c r="P17" s="341">
        <f t="shared" si="3"/>
        <v>0</v>
      </c>
      <c r="Q17" s="163">
        <f>'记账凭证汇总'!AO145-'记账凭证汇总'!AP145</f>
        <v>0</v>
      </c>
      <c r="R17" s="163">
        <f>'记账凭证汇总'!AS145-'记账凭证汇总'!AT145</f>
        <v>0</v>
      </c>
      <c r="S17" s="163">
        <f>'记账凭证汇总'!AW145-'记账凭证汇总'!AX145</f>
        <v>0</v>
      </c>
      <c r="T17" s="341">
        <f t="shared" si="4"/>
        <v>0</v>
      </c>
      <c r="U17" s="342">
        <f t="shared" si="5"/>
        <v>0</v>
      </c>
    </row>
    <row r="18" spans="1:21" ht="14.25">
      <c r="A18" s="277">
        <v>9</v>
      </c>
      <c r="B18" s="378" t="s">
        <v>384</v>
      </c>
      <c r="C18" s="380"/>
      <c r="D18" s="381">
        <f>'记账凭证汇总'!E146-'记账凭证汇总'!F146</f>
        <v>0</v>
      </c>
      <c r="E18" s="279">
        <f>'记账凭证汇总'!I146-'记账凭证汇总'!J146</f>
        <v>0</v>
      </c>
      <c r="F18" s="163">
        <f>'记账凭证汇总'!M146-'记账凭证汇总'!N146</f>
        <v>0</v>
      </c>
      <c r="G18" s="341">
        <f t="shared" si="0"/>
        <v>0</v>
      </c>
      <c r="H18" s="163">
        <f>'记账凭证汇总'!Q146-'记账凭证汇总'!R146</f>
        <v>0</v>
      </c>
      <c r="I18" s="163">
        <f>'记账凭证汇总'!U146-'记账凭证汇总'!V146</f>
        <v>0</v>
      </c>
      <c r="J18" s="163">
        <f>'记账凭证汇总'!Y146-'记账凭证汇总'!Z146</f>
        <v>0</v>
      </c>
      <c r="K18" s="341">
        <f t="shared" si="1"/>
        <v>0</v>
      </c>
      <c r="L18" s="341">
        <f t="shared" si="2"/>
        <v>0</v>
      </c>
      <c r="M18" s="163">
        <f>'记账凭证汇总'!AC146-'记账凭证汇总'!AD146</f>
        <v>0</v>
      </c>
      <c r="N18" s="163">
        <f>'记账凭证汇总'!AG146-'记账凭证汇总'!AH146</f>
        <v>0</v>
      </c>
      <c r="O18" s="163">
        <f>'记账凭证汇总'!AK146-'记账凭证汇总'!AL146</f>
        <v>0</v>
      </c>
      <c r="P18" s="341">
        <f t="shared" si="3"/>
        <v>0</v>
      </c>
      <c r="Q18" s="163">
        <f>'记账凭证汇总'!AO146-'记账凭证汇总'!AP146</f>
        <v>0</v>
      </c>
      <c r="R18" s="163">
        <f>'记账凭证汇总'!AS146-'记账凭证汇总'!AT146</f>
        <v>0</v>
      </c>
      <c r="S18" s="163">
        <f>'记账凭证汇总'!AW146-'记账凭证汇总'!AX146</f>
        <v>0</v>
      </c>
      <c r="T18" s="341">
        <f t="shared" si="4"/>
        <v>0</v>
      </c>
      <c r="U18" s="342">
        <f t="shared" si="5"/>
        <v>0</v>
      </c>
    </row>
    <row r="19" spans="1:21" ht="14.25">
      <c r="A19" s="277">
        <v>10</v>
      </c>
      <c r="B19" s="378" t="s">
        <v>385</v>
      </c>
      <c r="C19" s="380"/>
      <c r="D19" s="381">
        <f>'记账凭证汇总'!E147-'记账凭证汇总'!F147</f>
        <v>0</v>
      </c>
      <c r="E19" s="279">
        <f>'记账凭证汇总'!I147-'记账凭证汇总'!J147</f>
        <v>0</v>
      </c>
      <c r="F19" s="163">
        <f>'记账凭证汇总'!M147-'记账凭证汇总'!N147</f>
        <v>0</v>
      </c>
      <c r="G19" s="341">
        <f t="shared" si="0"/>
        <v>0</v>
      </c>
      <c r="H19" s="163">
        <f>'记账凭证汇总'!Q147-'记账凭证汇总'!R147</f>
        <v>0</v>
      </c>
      <c r="I19" s="163">
        <f>'记账凭证汇总'!U147-'记账凭证汇总'!V147</f>
        <v>0</v>
      </c>
      <c r="J19" s="163">
        <f>'记账凭证汇总'!Y147-'记账凭证汇总'!Z147</f>
        <v>0</v>
      </c>
      <c r="K19" s="341">
        <f t="shared" si="1"/>
        <v>0</v>
      </c>
      <c r="L19" s="341">
        <f t="shared" si="2"/>
        <v>0</v>
      </c>
      <c r="M19" s="163">
        <f>'记账凭证汇总'!AC147-'记账凭证汇总'!AD147</f>
        <v>0</v>
      </c>
      <c r="N19" s="163">
        <f>'记账凭证汇总'!AG147-'记账凭证汇总'!AH147</f>
        <v>0</v>
      </c>
      <c r="O19" s="163">
        <f>'记账凭证汇总'!AK147-'记账凭证汇总'!AL147</f>
        <v>0</v>
      </c>
      <c r="P19" s="341">
        <f t="shared" si="3"/>
        <v>0</v>
      </c>
      <c r="Q19" s="163">
        <f>'记账凭证汇总'!AO147-'记账凭证汇总'!AP147</f>
        <v>0</v>
      </c>
      <c r="R19" s="163">
        <f>'记账凭证汇总'!AS147-'记账凭证汇总'!AT147</f>
        <v>0</v>
      </c>
      <c r="S19" s="163">
        <f>'记账凭证汇总'!AW147-'记账凭证汇总'!AX147</f>
        <v>0</v>
      </c>
      <c r="T19" s="341">
        <f t="shared" si="4"/>
        <v>0</v>
      </c>
      <c r="U19" s="342">
        <f t="shared" si="5"/>
        <v>0</v>
      </c>
    </row>
    <row r="20" spans="1:21" ht="14.25">
      <c r="A20" s="277">
        <v>11</v>
      </c>
      <c r="B20" s="378" t="s">
        <v>29</v>
      </c>
      <c r="C20" s="380"/>
      <c r="D20" s="381">
        <f>'记账凭证汇总'!E148-'记账凭证汇总'!F148</f>
        <v>0</v>
      </c>
      <c r="E20" s="279">
        <f>'记账凭证汇总'!I148-'记账凭证汇总'!J148</f>
        <v>0</v>
      </c>
      <c r="F20" s="163">
        <f>'记账凭证汇总'!M148-'记账凭证汇总'!N148</f>
        <v>0</v>
      </c>
      <c r="G20" s="341">
        <f t="shared" si="0"/>
        <v>0</v>
      </c>
      <c r="H20" s="163">
        <f>'记账凭证汇总'!Q148-'记账凭证汇总'!R148</f>
        <v>0</v>
      </c>
      <c r="I20" s="163">
        <f>'记账凭证汇总'!U148-'记账凭证汇总'!V148</f>
        <v>0</v>
      </c>
      <c r="J20" s="163">
        <f>'记账凭证汇总'!Y148-'记账凭证汇总'!Z148</f>
        <v>0</v>
      </c>
      <c r="K20" s="341">
        <f t="shared" si="1"/>
        <v>0</v>
      </c>
      <c r="L20" s="341">
        <f t="shared" si="2"/>
        <v>0</v>
      </c>
      <c r="M20" s="163">
        <f>'记账凭证汇总'!AC148-'记账凭证汇总'!AD148</f>
        <v>0</v>
      </c>
      <c r="N20" s="163">
        <f>'记账凭证汇总'!AG148-'记账凭证汇总'!AH148</f>
        <v>0</v>
      </c>
      <c r="O20" s="163">
        <f>'记账凭证汇总'!AK148-'记账凭证汇总'!AL148</f>
        <v>0</v>
      </c>
      <c r="P20" s="341">
        <f t="shared" si="3"/>
        <v>0</v>
      </c>
      <c r="Q20" s="163">
        <f>'记账凭证汇总'!AO148-'记账凭证汇总'!AP148</f>
        <v>0</v>
      </c>
      <c r="R20" s="163">
        <f>'记账凭证汇总'!AS148-'记账凭证汇总'!AT148</f>
        <v>0</v>
      </c>
      <c r="S20" s="163">
        <f>'记账凭证汇总'!AW148-'记账凭证汇总'!AX148</f>
        <v>0</v>
      </c>
      <c r="T20" s="341">
        <f t="shared" si="4"/>
        <v>0</v>
      </c>
      <c r="U20" s="342">
        <f t="shared" si="5"/>
        <v>0</v>
      </c>
    </row>
    <row r="21" spans="1:21" ht="14.25">
      <c r="A21" s="277">
        <v>12</v>
      </c>
      <c r="B21" s="378" t="s">
        <v>27</v>
      </c>
      <c r="C21" s="380"/>
      <c r="D21" s="381">
        <f>'记账凭证汇总'!E149-'记账凭证汇总'!F149</f>
        <v>0</v>
      </c>
      <c r="E21" s="279">
        <f>'记账凭证汇总'!I149-'记账凭证汇总'!J149</f>
        <v>0</v>
      </c>
      <c r="F21" s="163">
        <f>'记账凭证汇总'!M149-'记账凭证汇总'!N149</f>
        <v>0</v>
      </c>
      <c r="G21" s="341">
        <f t="shared" si="0"/>
        <v>0</v>
      </c>
      <c r="H21" s="163">
        <f>'记账凭证汇总'!Q149-'记账凭证汇总'!R149</f>
        <v>0</v>
      </c>
      <c r="I21" s="163">
        <f>'记账凭证汇总'!U149-'记账凭证汇总'!V149</f>
        <v>0</v>
      </c>
      <c r="J21" s="163">
        <f>'记账凭证汇总'!Y149-'记账凭证汇总'!Z149</f>
        <v>0</v>
      </c>
      <c r="K21" s="341">
        <f t="shared" si="1"/>
        <v>0</v>
      </c>
      <c r="L21" s="341">
        <f t="shared" si="2"/>
        <v>0</v>
      </c>
      <c r="M21" s="163">
        <f>'记账凭证汇总'!AC149-'记账凭证汇总'!AD149</f>
        <v>0</v>
      </c>
      <c r="N21" s="163">
        <f>'记账凭证汇总'!AG149-'记账凭证汇总'!AH149</f>
        <v>0</v>
      </c>
      <c r="O21" s="163">
        <f>'记账凭证汇总'!AK149-'记账凭证汇总'!AL149</f>
        <v>0</v>
      </c>
      <c r="P21" s="341">
        <f t="shared" si="3"/>
        <v>0</v>
      </c>
      <c r="Q21" s="163">
        <f>'记账凭证汇总'!AO149-'记账凭证汇总'!AP149</f>
        <v>0</v>
      </c>
      <c r="R21" s="163">
        <f>'记账凭证汇总'!AS149-'记账凭证汇总'!AT149</f>
        <v>0</v>
      </c>
      <c r="S21" s="163">
        <f>'记账凭证汇总'!AW149-'记账凭证汇总'!AX149</f>
        <v>0</v>
      </c>
      <c r="T21" s="341">
        <f t="shared" si="4"/>
        <v>0</v>
      </c>
      <c r="U21" s="342">
        <f t="shared" si="5"/>
        <v>0</v>
      </c>
    </row>
    <row r="22" spans="1:21" ht="14.25">
      <c r="A22" s="277">
        <v>13</v>
      </c>
      <c r="B22" s="378" t="s">
        <v>28</v>
      </c>
      <c r="C22" s="380"/>
      <c r="D22" s="381">
        <f>'记账凭证汇总'!E150-'记账凭证汇总'!F150</f>
        <v>0</v>
      </c>
      <c r="E22" s="279">
        <f>'记账凭证汇总'!I150-'记账凭证汇总'!J150</f>
        <v>0</v>
      </c>
      <c r="F22" s="163">
        <f>'记账凭证汇总'!M150-'记账凭证汇总'!N150</f>
        <v>0</v>
      </c>
      <c r="G22" s="341">
        <f t="shared" si="0"/>
        <v>0</v>
      </c>
      <c r="H22" s="163">
        <f>'记账凭证汇总'!Q150-'记账凭证汇总'!R150</f>
        <v>0</v>
      </c>
      <c r="I22" s="163">
        <f>'记账凭证汇总'!U150-'记账凭证汇总'!V150</f>
        <v>0</v>
      </c>
      <c r="J22" s="163">
        <f>'记账凭证汇总'!Y150-'记账凭证汇总'!Z150</f>
        <v>0</v>
      </c>
      <c r="K22" s="341">
        <f t="shared" si="1"/>
        <v>0</v>
      </c>
      <c r="L22" s="341">
        <f t="shared" si="2"/>
        <v>0</v>
      </c>
      <c r="M22" s="163">
        <f>'记账凭证汇总'!AC150-'记账凭证汇总'!AD150</f>
        <v>0</v>
      </c>
      <c r="N22" s="163">
        <f>'记账凭证汇总'!AG150-'记账凭证汇总'!AH150</f>
        <v>0</v>
      </c>
      <c r="O22" s="163">
        <f>'记账凭证汇总'!AK150-'记账凭证汇总'!AL150</f>
        <v>0</v>
      </c>
      <c r="P22" s="341">
        <f t="shared" si="3"/>
        <v>0</v>
      </c>
      <c r="Q22" s="163">
        <f>'记账凭证汇总'!AO150-'记账凭证汇总'!AP150</f>
        <v>0</v>
      </c>
      <c r="R22" s="163">
        <f>'记账凭证汇总'!AS150-'记账凭证汇总'!AT150</f>
        <v>0</v>
      </c>
      <c r="S22" s="163">
        <f>'记账凭证汇总'!AW150-'记账凭证汇总'!AX150</f>
        <v>0</v>
      </c>
      <c r="T22" s="341">
        <f t="shared" si="4"/>
        <v>0</v>
      </c>
      <c r="U22" s="342">
        <f t="shared" si="5"/>
        <v>0</v>
      </c>
    </row>
    <row r="23" spans="1:21" ht="14.25">
      <c r="A23" s="277">
        <v>14</v>
      </c>
      <c r="B23" s="378" t="s">
        <v>24</v>
      </c>
      <c r="C23" s="380"/>
      <c r="D23" s="381">
        <f>'记账凭证汇总'!E151-'记账凭证汇总'!F151</f>
        <v>0</v>
      </c>
      <c r="E23" s="279">
        <f>'记账凭证汇总'!I151-'记账凭证汇总'!J151</f>
        <v>0</v>
      </c>
      <c r="F23" s="163">
        <f>'记账凭证汇总'!M151-'记账凭证汇总'!N151</f>
        <v>0</v>
      </c>
      <c r="G23" s="341">
        <f t="shared" si="0"/>
        <v>0</v>
      </c>
      <c r="H23" s="163">
        <f>'记账凭证汇总'!Q151-'记账凭证汇总'!R151</f>
        <v>0</v>
      </c>
      <c r="I23" s="163">
        <f>'记账凭证汇总'!U151-'记账凭证汇总'!V151</f>
        <v>0</v>
      </c>
      <c r="J23" s="163">
        <f>'记账凭证汇总'!Y151-'记账凭证汇总'!Z151</f>
        <v>0</v>
      </c>
      <c r="K23" s="341">
        <f t="shared" si="1"/>
        <v>0</v>
      </c>
      <c r="L23" s="341">
        <f t="shared" si="2"/>
        <v>0</v>
      </c>
      <c r="M23" s="163">
        <f>'记账凭证汇总'!AC151-'记账凭证汇总'!AD151</f>
        <v>0</v>
      </c>
      <c r="N23" s="163">
        <f>'记账凭证汇总'!AG151-'记账凭证汇总'!AH151</f>
        <v>0</v>
      </c>
      <c r="O23" s="163">
        <f>'记账凭证汇总'!AK151-'记账凭证汇总'!AL151</f>
        <v>0</v>
      </c>
      <c r="P23" s="341">
        <f t="shared" si="3"/>
        <v>0</v>
      </c>
      <c r="Q23" s="163">
        <f>'记账凭证汇总'!AO151-'记账凭证汇总'!AP151</f>
        <v>0</v>
      </c>
      <c r="R23" s="163">
        <f>'记账凭证汇总'!AS151-'记账凭证汇总'!AT151</f>
        <v>0</v>
      </c>
      <c r="S23" s="163">
        <f>'记账凭证汇总'!AW151-'记账凭证汇总'!AX151</f>
        <v>0</v>
      </c>
      <c r="T23" s="341">
        <f t="shared" si="4"/>
        <v>0</v>
      </c>
      <c r="U23" s="342">
        <f t="shared" si="5"/>
        <v>0</v>
      </c>
    </row>
    <row r="24" spans="1:21" ht="14.25">
      <c r="A24" s="277">
        <v>15</v>
      </c>
      <c r="B24" s="378" t="s">
        <v>695</v>
      </c>
      <c r="C24" s="380"/>
      <c r="D24" s="381">
        <f>'记账凭证汇总'!E152-'记账凭证汇总'!F152</f>
        <v>0</v>
      </c>
      <c r="E24" s="279">
        <f>'记账凭证汇总'!I152-'记账凭证汇总'!J152</f>
        <v>0</v>
      </c>
      <c r="F24" s="163">
        <f>'记账凭证汇总'!M152-'记账凭证汇总'!N152</f>
        <v>0</v>
      </c>
      <c r="G24" s="341">
        <f t="shared" si="0"/>
        <v>0</v>
      </c>
      <c r="H24" s="163">
        <f>'记账凭证汇总'!Q152-'记账凭证汇总'!R152</f>
        <v>0</v>
      </c>
      <c r="I24" s="163">
        <f>'记账凭证汇总'!U152-'记账凭证汇总'!V152</f>
        <v>0</v>
      </c>
      <c r="J24" s="163">
        <f>'记账凭证汇总'!Y152-'记账凭证汇总'!Z152</f>
        <v>0</v>
      </c>
      <c r="K24" s="341">
        <f t="shared" si="1"/>
        <v>0</v>
      </c>
      <c r="L24" s="341">
        <f t="shared" si="2"/>
        <v>0</v>
      </c>
      <c r="M24" s="163">
        <f>'记账凭证汇总'!AC152-'记账凭证汇总'!AD152</f>
        <v>0</v>
      </c>
      <c r="N24" s="163">
        <f>'记账凭证汇总'!AG152-'记账凭证汇总'!AH152</f>
        <v>0</v>
      </c>
      <c r="O24" s="163">
        <f>'记账凭证汇总'!AK152-'记账凭证汇总'!AL152</f>
        <v>0</v>
      </c>
      <c r="P24" s="341">
        <f t="shared" si="3"/>
        <v>0</v>
      </c>
      <c r="Q24" s="163">
        <f>'记账凭证汇总'!AO152-'记账凭证汇总'!AP152</f>
        <v>0</v>
      </c>
      <c r="R24" s="163">
        <f>'记账凭证汇总'!AS152-'记账凭证汇总'!AT152</f>
        <v>0</v>
      </c>
      <c r="S24" s="163">
        <f>'记账凭证汇总'!AW152-'记账凭证汇总'!AX152</f>
        <v>0</v>
      </c>
      <c r="T24" s="341">
        <f t="shared" si="4"/>
        <v>0</v>
      </c>
      <c r="U24" s="342">
        <f t="shared" si="5"/>
        <v>0</v>
      </c>
    </row>
    <row r="25" spans="1:21" ht="14.25">
      <c r="A25" s="277">
        <v>16</v>
      </c>
      <c r="B25" s="378" t="s">
        <v>696</v>
      </c>
      <c r="C25" s="380"/>
      <c r="D25" s="381">
        <f>'记账凭证汇总'!E153-'记账凭证汇总'!F153</f>
        <v>0</v>
      </c>
      <c r="E25" s="279">
        <f>'记账凭证汇总'!I153-'记账凭证汇总'!J153</f>
        <v>0</v>
      </c>
      <c r="F25" s="163">
        <f>'记账凭证汇总'!M153-'记账凭证汇总'!N153</f>
        <v>0</v>
      </c>
      <c r="G25" s="341">
        <f t="shared" si="0"/>
        <v>0</v>
      </c>
      <c r="H25" s="163">
        <f>'记账凭证汇总'!Q153-'记账凭证汇总'!R153</f>
        <v>0</v>
      </c>
      <c r="I25" s="163">
        <f>'记账凭证汇总'!U153-'记账凭证汇总'!V153</f>
        <v>0</v>
      </c>
      <c r="J25" s="163">
        <f>'记账凭证汇总'!Y153-'记账凭证汇总'!Z153</f>
        <v>0</v>
      </c>
      <c r="K25" s="341">
        <f t="shared" si="1"/>
        <v>0</v>
      </c>
      <c r="L25" s="341">
        <f t="shared" si="2"/>
        <v>0</v>
      </c>
      <c r="M25" s="163">
        <f>'记账凭证汇总'!AC153-'记账凭证汇总'!AD153</f>
        <v>0</v>
      </c>
      <c r="N25" s="163">
        <f>'记账凭证汇总'!AG153-'记账凭证汇总'!AH153</f>
        <v>0</v>
      </c>
      <c r="O25" s="163">
        <f>'记账凭证汇总'!AK153-'记账凭证汇总'!AL153</f>
        <v>0</v>
      </c>
      <c r="P25" s="341">
        <f t="shared" si="3"/>
        <v>0</v>
      </c>
      <c r="Q25" s="163">
        <f>'记账凭证汇总'!AO153-'记账凭证汇总'!AP153</f>
        <v>0</v>
      </c>
      <c r="R25" s="163">
        <f>'记账凭证汇总'!AS153-'记账凭证汇总'!AT153</f>
        <v>0</v>
      </c>
      <c r="S25" s="163">
        <f>'记账凭证汇总'!AW153-'记账凭证汇总'!AX153</f>
        <v>0</v>
      </c>
      <c r="T25" s="341">
        <f t="shared" si="4"/>
        <v>0</v>
      </c>
      <c r="U25" s="342">
        <f t="shared" si="5"/>
        <v>0</v>
      </c>
    </row>
    <row r="26" spans="1:21" ht="14.25">
      <c r="A26" s="277">
        <v>17</v>
      </c>
      <c r="B26" s="378" t="s">
        <v>697</v>
      </c>
      <c r="C26" s="380"/>
      <c r="D26" s="381">
        <f>'记账凭证汇总'!E154-'记账凭证汇总'!F154</f>
        <v>0</v>
      </c>
      <c r="E26" s="279">
        <f>'记账凭证汇总'!I154-'记账凭证汇总'!J154</f>
        <v>0</v>
      </c>
      <c r="F26" s="163">
        <f>'记账凭证汇总'!M154-'记账凭证汇总'!N154</f>
        <v>0</v>
      </c>
      <c r="G26" s="341">
        <f t="shared" si="0"/>
        <v>0</v>
      </c>
      <c r="H26" s="163">
        <f>'记账凭证汇总'!Q154-'记账凭证汇总'!R154</f>
        <v>0</v>
      </c>
      <c r="I26" s="163">
        <f>'记账凭证汇总'!U154-'记账凭证汇总'!V154</f>
        <v>0</v>
      </c>
      <c r="J26" s="163">
        <f>'记账凭证汇总'!Y154-'记账凭证汇总'!Z154</f>
        <v>0</v>
      </c>
      <c r="K26" s="341">
        <f t="shared" si="1"/>
        <v>0</v>
      </c>
      <c r="L26" s="341">
        <f t="shared" si="2"/>
        <v>0</v>
      </c>
      <c r="M26" s="163">
        <f>'记账凭证汇总'!AC154-'记账凭证汇总'!AD154</f>
        <v>0</v>
      </c>
      <c r="N26" s="163">
        <f>'记账凭证汇总'!AG154-'记账凭证汇总'!AH154</f>
        <v>0</v>
      </c>
      <c r="O26" s="163">
        <f>'记账凭证汇总'!AK154-'记账凭证汇总'!AL154</f>
        <v>0</v>
      </c>
      <c r="P26" s="341">
        <f t="shared" si="3"/>
        <v>0</v>
      </c>
      <c r="Q26" s="163">
        <f>'记账凭证汇总'!AO154-'记账凭证汇总'!AP154</f>
        <v>0</v>
      </c>
      <c r="R26" s="163">
        <f>'记账凭证汇总'!AS154-'记账凭证汇总'!AT154</f>
        <v>0</v>
      </c>
      <c r="S26" s="163">
        <f>'记账凭证汇总'!AW154-'记账凭证汇总'!AX154</f>
        <v>0</v>
      </c>
      <c r="T26" s="341">
        <f t="shared" si="4"/>
        <v>0</v>
      </c>
      <c r="U26" s="342">
        <f t="shared" si="5"/>
        <v>0</v>
      </c>
    </row>
    <row r="27" spans="1:21" ht="14.25">
      <c r="A27" s="277">
        <v>18</v>
      </c>
      <c r="B27" s="378" t="s">
        <v>698</v>
      </c>
      <c r="C27" s="380"/>
      <c r="D27" s="381">
        <f>'记账凭证汇总'!E155-'记账凭证汇总'!F155</f>
        <v>0</v>
      </c>
      <c r="E27" s="279">
        <f>'记账凭证汇总'!I155-'记账凭证汇总'!J155</f>
        <v>0</v>
      </c>
      <c r="F27" s="163">
        <f>'记账凭证汇总'!M155-'记账凭证汇总'!N155</f>
        <v>0</v>
      </c>
      <c r="G27" s="341">
        <f t="shared" si="0"/>
        <v>0</v>
      </c>
      <c r="H27" s="163">
        <f>'记账凭证汇总'!Q155-'记账凭证汇总'!R155</f>
        <v>0</v>
      </c>
      <c r="I27" s="163">
        <f>'记账凭证汇总'!U155-'记账凭证汇总'!V155</f>
        <v>0</v>
      </c>
      <c r="J27" s="163">
        <f>'记账凭证汇总'!Y155-'记账凭证汇总'!Z155</f>
        <v>0</v>
      </c>
      <c r="K27" s="341">
        <f t="shared" si="1"/>
        <v>0</v>
      </c>
      <c r="L27" s="341">
        <f t="shared" si="2"/>
        <v>0</v>
      </c>
      <c r="M27" s="163">
        <f>'记账凭证汇总'!AC155-'记账凭证汇总'!AD155</f>
        <v>0</v>
      </c>
      <c r="N27" s="163">
        <f>'记账凭证汇总'!AG155-'记账凭证汇总'!AH155</f>
        <v>0</v>
      </c>
      <c r="O27" s="163">
        <f>'记账凭证汇总'!AK155-'记账凭证汇总'!AL155</f>
        <v>0</v>
      </c>
      <c r="P27" s="341">
        <f t="shared" si="3"/>
        <v>0</v>
      </c>
      <c r="Q27" s="163">
        <f>'记账凭证汇总'!AO155-'记账凭证汇总'!AP155</f>
        <v>0</v>
      </c>
      <c r="R27" s="163">
        <f>'记账凭证汇总'!AS155-'记账凭证汇总'!AT155</f>
        <v>0</v>
      </c>
      <c r="S27" s="163">
        <f>'记账凭证汇总'!AW155-'记账凭证汇总'!AX155</f>
        <v>0</v>
      </c>
      <c r="T27" s="341">
        <f t="shared" si="4"/>
        <v>0</v>
      </c>
      <c r="U27" s="342">
        <f t="shared" si="5"/>
        <v>0</v>
      </c>
    </row>
    <row r="28" spans="1:21" ht="14.25">
      <c r="A28" s="277">
        <v>19</v>
      </c>
      <c r="B28" s="378" t="s">
        <v>454</v>
      </c>
      <c r="C28" s="380"/>
      <c r="D28" s="381">
        <f>'记账凭证汇总'!E156-'记账凭证汇总'!F156</f>
        <v>600</v>
      </c>
      <c r="E28" s="279">
        <f>'记账凭证汇总'!I156-'记账凭证汇总'!J156</f>
        <v>0</v>
      </c>
      <c r="F28" s="163">
        <f>'记账凭证汇总'!M156-'记账凭证汇总'!N156</f>
        <v>0</v>
      </c>
      <c r="G28" s="341">
        <f t="shared" si="0"/>
        <v>600</v>
      </c>
      <c r="H28" s="163">
        <f>'记账凭证汇总'!Q156-'记账凭证汇总'!R156</f>
        <v>0</v>
      </c>
      <c r="I28" s="163">
        <f>'记账凭证汇总'!U156-'记账凭证汇总'!V156</f>
        <v>0</v>
      </c>
      <c r="J28" s="163">
        <f>'记账凭证汇总'!Y156-'记账凭证汇总'!Z156</f>
        <v>0</v>
      </c>
      <c r="K28" s="341">
        <f t="shared" si="1"/>
        <v>0</v>
      </c>
      <c r="L28" s="341">
        <f t="shared" si="2"/>
        <v>600</v>
      </c>
      <c r="M28" s="163">
        <f>'记账凭证汇总'!AC156-'记账凭证汇总'!AD156</f>
        <v>0</v>
      </c>
      <c r="N28" s="163">
        <f>'记账凭证汇总'!AG156-'记账凭证汇总'!AH156</f>
        <v>0</v>
      </c>
      <c r="O28" s="163">
        <f>'记账凭证汇总'!AK156-'记账凭证汇总'!AL156</f>
        <v>0</v>
      </c>
      <c r="P28" s="341">
        <f t="shared" si="3"/>
        <v>0</v>
      </c>
      <c r="Q28" s="163">
        <f>'记账凭证汇总'!AO156-'记账凭证汇总'!AP156</f>
        <v>0</v>
      </c>
      <c r="R28" s="163">
        <f>'记账凭证汇总'!AS156-'记账凭证汇总'!AT156</f>
        <v>0</v>
      </c>
      <c r="S28" s="163">
        <f>'记账凭证汇总'!AW156-'记账凭证汇总'!AX156</f>
        <v>0</v>
      </c>
      <c r="T28" s="341">
        <f t="shared" si="4"/>
        <v>0</v>
      </c>
      <c r="U28" s="342">
        <f t="shared" si="5"/>
        <v>0</v>
      </c>
    </row>
    <row r="29" spans="1:21" ht="14.25">
      <c r="A29" s="277">
        <v>20</v>
      </c>
      <c r="B29" s="378" t="s">
        <v>513</v>
      </c>
      <c r="C29" s="380"/>
      <c r="D29" s="381">
        <f>'记账凭证汇总'!E157-'记账凭证汇总'!F157</f>
        <v>0</v>
      </c>
      <c r="E29" s="279">
        <f>'记账凭证汇总'!I157-'记账凭证汇总'!J157</f>
        <v>0</v>
      </c>
      <c r="F29" s="163">
        <f>'记账凭证汇总'!M157-'记账凭证汇总'!N157</f>
        <v>0</v>
      </c>
      <c r="G29" s="341">
        <f t="shared" si="0"/>
        <v>0</v>
      </c>
      <c r="H29" s="163">
        <f>'记账凭证汇总'!Q157-'记账凭证汇总'!R157</f>
        <v>0</v>
      </c>
      <c r="I29" s="163">
        <f>'记账凭证汇总'!U157-'记账凭证汇总'!V157</f>
        <v>0</v>
      </c>
      <c r="J29" s="163">
        <f>'记账凭证汇总'!Y157-'记账凭证汇总'!Z157</f>
        <v>0</v>
      </c>
      <c r="K29" s="341">
        <f t="shared" si="1"/>
        <v>0</v>
      </c>
      <c r="L29" s="341">
        <f>G29+K29</f>
        <v>0</v>
      </c>
      <c r="M29" s="163">
        <f>'记账凭证汇总'!AC157-'记账凭证汇总'!AD157</f>
        <v>0</v>
      </c>
      <c r="N29" s="163">
        <f>'记账凭证汇总'!AG157-'记账凭证汇总'!AH157</f>
        <v>0</v>
      </c>
      <c r="O29" s="163">
        <f>'记账凭证汇总'!AK157-'记账凭证汇总'!AL157</f>
        <v>0</v>
      </c>
      <c r="P29" s="341">
        <f t="shared" si="3"/>
        <v>0</v>
      </c>
      <c r="Q29" s="163">
        <f>'记账凭证汇总'!AO157-'记账凭证汇总'!AP157</f>
        <v>0</v>
      </c>
      <c r="R29" s="163">
        <f>'记账凭证汇总'!AS157-'记账凭证汇总'!AT157</f>
        <v>0</v>
      </c>
      <c r="S29" s="163">
        <f>'记账凭证汇总'!AW157-'记账凭证汇总'!AX157</f>
        <v>0</v>
      </c>
      <c r="T29" s="341">
        <f t="shared" si="4"/>
        <v>0</v>
      </c>
      <c r="U29" s="342">
        <f t="shared" si="5"/>
        <v>0</v>
      </c>
    </row>
    <row r="30" spans="1:21" ht="14.25">
      <c r="A30" s="277">
        <v>21</v>
      </c>
      <c r="B30" s="378" t="s">
        <v>32</v>
      </c>
      <c r="C30" s="380"/>
      <c r="D30" s="381">
        <f>'记账凭证汇总'!E158-'记账凭证汇总'!F158</f>
        <v>5900</v>
      </c>
      <c r="E30" s="279">
        <f>'记账凭证汇总'!I158-'记账凭证汇总'!J158</f>
        <v>0</v>
      </c>
      <c r="F30" s="163">
        <f>'记账凭证汇总'!M158-'记账凭证汇总'!N158</f>
        <v>0</v>
      </c>
      <c r="G30" s="341">
        <f t="shared" si="0"/>
        <v>5900</v>
      </c>
      <c r="H30" s="163">
        <f>'记账凭证汇总'!Q158-'记账凭证汇总'!R158</f>
        <v>0</v>
      </c>
      <c r="I30" s="163">
        <f>'记账凭证汇总'!U158-'记账凭证汇总'!V158</f>
        <v>0</v>
      </c>
      <c r="J30" s="163">
        <f>'记账凭证汇总'!Y158-'记账凭证汇总'!Z158</f>
        <v>0</v>
      </c>
      <c r="K30" s="341">
        <f t="shared" si="1"/>
        <v>0</v>
      </c>
      <c r="L30" s="341">
        <f t="shared" si="2"/>
        <v>5900</v>
      </c>
      <c r="M30" s="163">
        <f>'记账凭证汇总'!AC158-'记账凭证汇总'!AD158</f>
        <v>0</v>
      </c>
      <c r="N30" s="163">
        <f>'记账凭证汇总'!AG158-'记账凭证汇总'!AH158</f>
        <v>0</v>
      </c>
      <c r="O30" s="163">
        <f>'记账凭证汇总'!AK158-'记账凭证汇总'!AL158</f>
        <v>0</v>
      </c>
      <c r="P30" s="341">
        <f>M30+N30+O30</f>
        <v>0</v>
      </c>
      <c r="Q30" s="163">
        <f>'记账凭证汇总'!AO158-'记账凭证汇总'!AP158</f>
        <v>0</v>
      </c>
      <c r="R30" s="163">
        <f>'记账凭证汇总'!AS158-'记账凭证汇总'!AT158</f>
        <v>0</v>
      </c>
      <c r="S30" s="163">
        <f>'记账凭证汇总'!AW158-'记账凭证汇总'!AX158</f>
        <v>0</v>
      </c>
      <c r="T30" s="341">
        <f t="shared" si="4"/>
        <v>0</v>
      </c>
      <c r="U30" s="342">
        <f t="shared" si="5"/>
        <v>0</v>
      </c>
    </row>
    <row r="31" spans="1:21" ht="14.25">
      <c r="A31" s="277">
        <v>22</v>
      </c>
      <c r="B31" s="378" t="s">
        <v>699</v>
      </c>
      <c r="C31" s="380"/>
      <c r="D31" s="381">
        <f>'记账凭证汇总'!E159-'记账凭证汇总'!F159</f>
        <v>0</v>
      </c>
      <c r="E31" s="279">
        <f>'记账凭证汇总'!I159-'记账凭证汇总'!J159</f>
        <v>0</v>
      </c>
      <c r="F31" s="163">
        <f>'记账凭证汇总'!M159-'记账凭证汇总'!N159</f>
        <v>0</v>
      </c>
      <c r="G31" s="341">
        <f t="shared" si="0"/>
        <v>0</v>
      </c>
      <c r="H31" s="163">
        <f>'记账凭证汇总'!Q159-'记账凭证汇总'!R159</f>
        <v>0</v>
      </c>
      <c r="I31" s="163">
        <f>'记账凭证汇总'!U159-'记账凭证汇总'!V159</f>
        <v>0</v>
      </c>
      <c r="J31" s="163">
        <f>'记账凭证汇总'!Y159-'记账凭证汇总'!Z159</f>
        <v>0</v>
      </c>
      <c r="K31" s="341">
        <f t="shared" si="1"/>
        <v>0</v>
      </c>
      <c r="L31" s="341">
        <f t="shared" si="2"/>
        <v>0</v>
      </c>
      <c r="M31" s="163">
        <f>'记账凭证汇总'!AC159-'记账凭证汇总'!AD159</f>
        <v>0</v>
      </c>
      <c r="N31" s="163">
        <f>'记账凭证汇总'!AG159-'记账凭证汇总'!AH159</f>
        <v>0</v>
      </c>
      <c r="O31" s="163">
        <f>'记账凭证汇总'!AK159-'记账凭证汇总'!AL159</f>
        <v>0</v>
      </c>
      <c r="P31" s="341">
        <f t="shared" si="3"/>
        <v>0</v>
      </c>
      <c r="Q31" s="163">
        <f>'记账凭证汇总'!AO159-'记账凭证汇总'!AP159</f>
        <v>0</v>
      </c>
      <c r="R31" s="163">
        <f>'记账凭证汇总'!AS159-'记账凭证汇总'!AT159</f>
        <v>0</v>
      </c>
      <c r="S31" s="163">
        <f>'记账凭证汇总'!AW159-'记账凭证汇总'!AX159</f>
        <v>0</v>
      </c>
      <c r="T31" s="341">
        <f>Q31+R31+S31</f>
        <v>0</v>
      </c>
      <c r="U31" s="342">
        <f t="shared" si="5"/>
        <v>0</v>
      </c>
    </row>
    <row r="32" spans="1:21" ht="14.25">
      <c r="A32" s="277">
        <v>23</v>
      </c>
      <c r="B32" s="378" t="s">
        <v>34</v>
      </c>
      <c r="C32" s="380"/>
      <c r="D32" s="381">
        <f>'记账凭证汇总'!E160-'记账凭证汇总'!F160</f>
        <v>0</v>
      </c>
      <c r="E32" s="279">
        <f>'记账凭证汇总'!I160-'记账凭证汇总'!J160</f>
        <v>0</v>
      </c>
      <c r="F32" s="163">
        <f>'记账凭证汇总'!M160-'记账凭证汇总'!N160</f>
        <v>0</v>
      </c>
      <c r="G32" s="341">
        <f t="shared" si="0"/>
        <v>0</v>
      </c>
      <c r="H32" s="163">
        <f>'记账凭证汇总'!Q160-'记账凭证汇总'!R160</f>
        <v>0</v>
      </c>
      <c r="I32" s="163">
        <f>'记账凭证汇总'!U160-'记账凭证汇总'!V160</f>
        <v>0</v>
      </c>
      <c r="J32" s="163">
        <f>'记账凭证汇总'!Y160-'记账凭证汇总'!Z160</f>
        <v>0</v>
      </c>
      <c r="K32" s="341">
        <f t="shared" si="1"/>
        <v>0</v>
      </c>
      <c r="L32" s="341">
        <f t="shared" si="2"/>
        <v>0</v>
      </c>
      <c r="M32" s="163">
        <f>'记账凭证汇总'!AC160-'记账凭证汇总'!AD160</f>
        <v>0</v>
      </c>
      <c r="N32" s="163">
        <f>'记账凭证汇总'!AG160-'记账凭证汇总'!AH160</f>
        <v>0</v>
      </c>
      <c r="O32" s="163">
        <f>'记账凭证汇总'!AK160-'记账凭证汇总'!AL160</f>
        <v>0</v>
      </c>
      <c r="P32" s="341">
        <f t="shared" si="3"/>
        <v>0</v>
      </c>
      <c r="Q32" s="163">
        <f>'记账凭证汇总'!AO160-'记账凭证汇总'!AP160</f>
        <v>0</v>
      </c>
      <c r="R32" s="163">
        <f>'记账凭证汇总'!AS160-'记账凭证汇总'!AT160</f>
        <v>0</v>
      </c>
      <c r="S32" s="163">
        <f>'记账凭证汇总'!AW160-'记账凭证汇总'!AX160</f>
        <v>0</v>
      </c>
      <c r="T32" s="341">
        <f t="shared" si="4"/>
        <v>0</v>
      </c>
      <c r="U32" s="342">
        <f t="shared" si="5"/>
        <v>0</v>
      </c>
    </row>
    <row r="33" spans="1:21" ht="14.25">
      <c r="A33" s="277">
        <v>24</v>
      </c>
      <c r="B33" s="378" t="s">
        <v>33</v>
      </c>
      <c r="C33" s="380"/>
      <c r="D33" s="381">
        <f>'记账凭证汇总'!E161-'记账凭证汇总'!F161</f>
        <v>0</v>
      </c>
      <c r="E33" s="279">
        <f>'记账凭证汇总'!I161-'记账凭证汇总'!J161</f>
        <v>0</v>
      </c>
      <c r="F33" s="163">
        <f>'记账凭证汇总'!M161-'记账凭证汇总'!N161</f>
        <v>0</v>
      </c>
      <c r="G33" s="341">
        <f t="shared" si="0"/>
        <v>0</v>
      </c>
      <c r="H33" s="163">
        <f>'记账凭证汇总'!Q161-'记账凭证汇总'!R161</f>
        <v>0</v>
      </c>
      <c r="I33" s="163">
        <f>'记账凭证汇总'!U161-'记账凭证汇总'!V161</f>
        <v>0</v>
      </c>
      <c r="J33" s="163">
        <f>'记账凭证汇总'!Y161-'记账凭证汇总'!Z161</f>
        <v>0</v>
      </c>
      <c r="K33" s="341">
        <f t="shared" si="1"/>
        <v>0</v>
      </c>
      <c r="L33" s="341">
        <f t="shared" si="2"/>
        <v>0</v>
      </c>
      <c r="M33" s="163">
        <f>'记账凭证汇总'!AC161-'记账凭证汇总'!AD161</f>
        <v>0</v>
      </c>
      <c r="N33" s="163">
        <f>'记账凭证汇总'!AG161-'记账凭证汇总'!AH161</f>
        <v>0</v>
      </c>
      <c r="O33" s="163">
        <f>'记账凭证汇总'!AK161-'记账凭证汇总'!AL161</f>
        <v>0</v>
      </c>
      <c r="P33" s="341">
        <f t="shared" si="3"/>
        <v>0</v>
      </c>
      <c r="Q33" s="163">
        <f>'记账凭证汇总'!AO161-'记账凭证汇总'!AP161</f>
        <v>0</v>
      </c>
      <c r="R33" s="163">
        <f>'记账凭证汇总'!AS161-'记账凭证汇总'!AT161</f>
        <v>0</v>
      </c>
      <c r="S33" s="163">
        <f>'记账凭证汇总'!AW161-'记账凭证汇总'!AX161</f>
        <v>0</v>
      </c>
      <c r="T33" s="341">
        <f t="shared" si="4"/>
        <v>0</v>
      </c>
      <c r="U33" s="342">
        <f t="shared" si="5"/>
        <v>0</v>
      </c>
    </row>
    <row r="34" spans="1:21" ht="14.25">
      <c r="A34" s="277">
        <v>25</v>
      </c>
      <c r="B34" s="378" t="s">
        <v>35</v>
      </c>
      <c r="C34" s="380"/>
      <c r="D34" s="381">
        <f>'记账凭证汇总'!E162-'记账凭证汇总'!F162</f>
        <v>0</v>
      </c>
      <c r="E34" s="279">
        <f>'记账凭证汇总'!I162-'记账凭证汇总'!J162</f>
        <v>0</v>
      </c>
      <c r="F34" s="163">
        <f>'记账凭证汇总'!M162-'记账凭证汇总'!N162</f>
        <v>0</v>
      </c>
      <c r="G34" s="341">
        <f t="shared" si="0"/>
        <v>0</v>
      </c>
      <c r="H34" s="163">
        <f>'记账凭证汇总'!Q162-'记账凭证汇总'!R162</f>
        <v>0</v>
      </c>
      <c r="I34" s="163">
        <f>'记账凭证汇总'!U162-'记账凭证汇总'!V162</f>
        <v>0</v>
      </c>
      <c r="J34" s="163">
        <f>'记账凭证汇总'!Y162-'记账凭证汇总'!Z162</f>
        <v>0</v>
      </c>
      <c r="K34" s="341">
        <f t="shared" si="1"/>
        <v>0</v>
      </c>
      <c r="L34" s="341">
        <f t="shared" si="2"/>
        <v>0</v>
      </c>
      <c r="M34" s="163">
        <f>'记账凭证汇总'!AC162-'记账凭证汇总'!AD162</f>
        <v>0</v>
      </c>
      <c r="N34" s="163">
        <f>'记账凭证汇总'!AG162-'记账凭证汇总'!AH162</f>
        <v>0</v>
      </c>
      <c r="O34" s="163">
        <f>'记账凭证汇总'!AK162-'记账凭证汇总'!AL162</f>
        <v>0</v>
      </c>
      <c r="P34" s="341">
        <f t="shared" si="3"/>
        <v>0</v>
      </c>
      <c r="Q34" s="163">
        <f>'记账凭证汇总'!AO162-'记账凭证汇总'!AP162</f>
        <v>0</v>
      </c>
      <c r="R34" s="163">
        <f>'记账凭证汇总'!AS162-'记账凭证汇总'!AT162</f>
        <v>0</v>
      </c>
      <c r="S34" s="163">
        <f>'记账凭证汇总'!AW162-'记账凭证汇总'!AX162</f>
        <v>0</v>
      </c>
      <c r="T34" s="341">
        <f t="shared" si="4"/>
        <v>0</v>
      </c>
      <c r="U34" s="342">
        <f t="shared" si="5"/>
        <v>0</v>
      </c>
    </row>
    <row r="35" spans="1:21" ht="14.25">
      <c r="A35" s="277">
        <v>26</v>
      </c>
      <c r="B35" s="378" t="s">
        <v>451</v>
      </c>
      <c r="C35" s="380"/>
      <c r="D35" s="381">
        <f>'记账凭证汇总'!E163-'记账凭证汇总'!F163</f>
        <v>0</v>
      </c>
      <c r="E35" s="279">
        <f>'记账凭证汇总'!I163-'记账凭证汇总'!J163</f>
        <v>0</v>
      </c>
      <c r="F35" s="163">
        <f>'记账凭证汇总'!M163-'记账凭证汇总'!N163</f>
        <v>0</v>
      </c>
      <c r="G35" s="341">
        <f t="shared" si="0"/>
        <v>0</v>
      </c>
      <c r="H35" s="163">
        <f>'记账凭证汇总'!Q163-'记账凭证汇总'!R163</f>
        <v>0</v>
      </c>
      <c r="I35" s="163">
        <f>'记账凭证汇总'!U163-'记账凭证汇总'!V163</f>
        <v>0</v>
      </c>
      <c r="J35" s="163">
        <f>'记账凭证汇总'!Y163-'记账凭证汇总'!Z163</f>
        <v>0</v>
      </c>
      <c r="K35" s="341">
        <f t="shared" si="1"/>
        <v>0</v>
      </c>
      <c r="L35" s="341">
        <f t="shared" si="2"/>
        <v>0</v>
      </c>
      <c r="M35" s="163">
        <f>'记账凭证汇总'!AC163-'记账凭证汇总'!AD163</f>
        <v>0</v>
      </c>
      <c r="N35" s="163">
        <f>'记账凭证汇总'!AG163-'记账凭证汇总'!AH163</f>
        <v>0</v>
      </c>
      <c r="O35" s="163">
        <f>'记账凭证汇总'!AK163-'记账凭证汇总'!AL163</f>
        <v>0</v>
      </c>
      <c r="P35" s="341">
        <f t="shared" si="3"/>
        <v>0</v>
      </c>
      <c r="Q35" s="163">
        <f>'记账凭证汇总'!AO163-'记账凭证汇总'!AP163</f>
        <v>0</v>
      </c>
      <c r="R35" s="163">
        <f>'记账凭证汇总'!AS163-'记账凭证汇总'!AT163</f>
        <v>0</v>
      </c>
      <c r="S35" s="163">
        <f>'记账凭证汇总'!AW163-'记账凭证汇总'!AX163</f>
        <v>0</v>
      </c>
      <c r="T35" s="341">
        <f t="shared" si="4"/>
        <v>0</v>
      </c>
      <c r="U35" s="342">
        <f t="shared" si="5"/>
        <v>0</v>
      </c>
    </row>
    <row r="36" spans="1:21" ht="14.25">
      <c r="A36" s="277">
        <v>27</v>
      </c>
      <c r="B36" s="378" t="s">
        <v>700</v>
      </c>
      <c r="C36" s="380"/>
      <c r="D36" s="381">
        <f>'记账凭证汇总'!E164-'记账凭证汇总'!F164</f>
        <v>0</v>
      </c>
      <c r="E36" s="279">
        <f>'记账凭证汇总'!I164-'记账凭证汇总'!J164</f>
        <v>0</v>
      </c>
      <c r="F36" s="163">
        <f>'记账凭证汇总'!M164-'记账凭证汇总'!N164</f>
        <v>0</v>
      </c>
      <c r="G36" s="341">
        <f t="shared" si="0"/>
        <v>0</v>
      </c>
      <c r="H36" s="163">
        <f>'记账凭证汇总'!Q164-'记账凭证汇总'!R164</f>
        <v>0</v>
      </c>
      <c r="I36" s="163">
        <f>'记账凭证汇总'!U164-'记账凭证汇总'!V164</f>
        <v>0</v>
      </c>
      <c r="J36" s="163">
        <f>'记账凭证汇总'!Y164-'记账凭证汇总'!Z164</f>
        <v>0</v>
      </c>
      <c r="K36" s="341">
        <f t="shared" si="1"/>
        <v>0</v>
      </c>
      <c r="L36" s="341">
        <f t="shared" si="2"/>
        <v>0</v>
      </c>
      <c r="M36" s="163">
        <f>'记账凭证汇总'!AC164-'记账凭证汇总'!AD164</f>
        <v>0</v>
      </c>
      <c r="N36" s="163">
        <f>'记账凭证汇总'!AG164-'记账凭证汇总'!AH164</f>
        <v>0</v>
      </c>
      <c r="O36" s="163">
        <f>'记账凭证汇总'!AK164-'记账凭证汇总'!AL164</f>
        <v>0</v>
      </c>
      <c r="P36" s="341">
        <f t="shared" si="3"/>
        <v>0</v>
      </c>
      <c r="Q36" s="163">
        <f>'记账凭证汇总'!AO164-'记账凭证汇总'!AP164</f>
        <v>0</v>
      </c>
      <c r="R36" s="163">
        <f>'记账凭证汇总'!AS164-'记账凭证汇总'!AT164</f>
        <v>0</v>
      </c>
      <c r="S36" s="163">
        <f>'记账凭证汇总'!AW164-'记账凭证汇总'!AX164</f>
        <v>0</v>
      </c>
      <c r="T36" s="341">
        <f t="shared" si="4"/>
        <v>0</v>
      </c>
      <c r="U36" s="342">
        <f t="shared" si="5"/>
        <v>0</v>
      </c>
    </row>
    <row r="37" spans="1:21" ht="14.25">
      <c r="A37" s="277">
        <v>28</v>
      </c>
      <c r="B37" s="378" t="s">
        <v>49</v>
      </c>
      <c r="C37" s="380"/>
      <c r="D37" s="381">
        <f>'记账凭证汇总'!E165-'记账凭证汇总'!F165</f>
        <v>0</v>
      </c>
      <c r="E37" s="279">
        <f>'记账凭证汇总'!I165-'记账凭证汇总'!J165</f>
        <v>0</v>
      </c>
      <c r="F37" s="163">
        <f>'记账凭证汇总'!M165-'记账凭证汇总'!N165</f>
        <v>0</v>
      </c>
      <c r="G37" s="341">
        <f t="shared" si="0"/>
        <v>0</v>
      </c>
      <c r="H37" s="163">
        <f>'记账凭证汇总'!Q165-'记账凭证汇总'!R165</f>
        <v>0</v>
      </c>
      <c r="I37" s="163">
        <f>'记账凭证汇总'!U165-'记账凭证汇总'!V165</f>
        <v>0</v>
      </c>
      <c r="J37" s="163">
        <f>'记账凭证汇总'!Y165-'记账凭证汇总'!Z165</f>
        <v>0</v>
      </c>
      <c r="K37" s="341">
        <f t="shared" si="1"/>
        <v>0</v>
      </c>
      <c r="L37" s="341">
        <f t="shared" si="2"/>
        <v>0</v>
      </c>
      <c r="M37" s="163">
        <f>'记账凭证汇总'!AC165-'记账凭证汇总'!AD165</f>
        <v>0</v>
      </c>
      <c r="N37" s="163">
        <f>'记账凭证汇总'!AG165-'记账凭证汇总'!AH165</f>
        <v>0</v>
      </c>
      <c r="O37" s="163">
        <f>'记账凭证汇总'!AK165-'记账凭证汇总'!AL165</f>
        <v>0</v>
      </c>
      <c r="P37" s="341">
        <f t="shared" si="3"/>
        <v>0</v>
      </c>
      <c r="Q37" s="163">
        <f>'记账凭证汇总'!AO165-'记账凭证汇总'!AP165</f>
        <v>0</v>
      </c>
      <c r="R37" s="163">
        <f>'记账凭证汇总'!AS165-'记账凭证汇总'!AT165</f>
        <v>0</v>
      </c>
      <c r="S37" s="163">
        <f>'记账凭证汇总'!AW165-'记账凭证汇总'!AX165</f>
        <v>0</v>
      </c>
      <c r="T37" s="341">
        <f t="shared" si="4"/>
        <v>0</v>
      </c>
      <c r="U37" s="342">
        <f t="shared" si="5"/>
        <v>0</v>
      </c>
    </row>
    <row r="38" spans="1:21" ht="14.25">
      <c r="A38" s="277">
        <v>29</v>
      </c>
      <c r="B38" s="378" t="s">
        <v>26</v>
      </c>
      <c r="C38" s="380"/>
      <c r="D38" s="381">
        <f>'记账凭证汇总'!E166-'记账凭证汇总'!F166</f>
        <v>0</v>
      </c>
      <c r="E38" s="279">
        <f>'记账凭证汇总'!I166-'记账凭证汇总'!J166</f>
        <v>0</v>
      </c>
      <c r="F38" s="163">
        <f>'记账凭证汇总'!M166-'记账凭证汇总'!N166</f>
        <v>0</v>
      </c>
      <c r="G38" s="341">
        <f t="shared" si="0"/>
        <v>0</v>
      </c>
      <c r="H38" s="163">
        <f>'记账凭证汇总'!Q166-'记账凭证汇总'!R166</f>
        <v>0</v>
      </c>
      <c r="I38" s="163">
        <f>'记账凭证汇总'!U166-'记账凭证汇总'!V166</f>
        <v>0</v>
      </c>
      <c r="J38" s="163">
        <f>'记账凭证汇总'!Y166-'记账凭证汇总'!Z166</f>
        <v>0</v>
      </c>
      <c r="K38" s="341">
        <f t="shared" si="1"/>
        <v>0</v>
      </c>
      <c r="L38" s="341">
        <f t="shared" si="2"/>
        <v>0</v>
      </c>
      <c r="M38" s="163">
        <f>'记账凭证汇总'!AC166-'记账凭证汇总'!AD166</f>
        <v>0</v>
      </c>
      <c r="N38" s="163">
        <f>'记账凭证汇总'!AG166-'记账凭证汇总'!AH166</f>
        <v>0</v>
      </c>
      <c r="O38" s="163">
        <f>'记账凭证汇总'!AK166-'记账凭证汇总'!AL166</f>
        <v>0</v>
      </c>
      <c r="P38" s="341">
        <f t="shared" si="3"/>
        <v>0</v>
      </c>
      <c r="Q38" s="163">
        <f>'记账凭证汇总'!AO166-'记账凭证汇总'!AP166</f>
        <v>0</v>
      </c>
      <c r="R38" s="163">
        <f>'记账凭证汇总'!AS166-'记账凭证汇总'!AT166</f>
        <v>0</v>
      </c>
      <c r="S38" s="163">
        <f>'记账凭证汇总'!AW166-'记账凭证汇总'!AX166</f>
        <v>0</v>
      </c>
      <c r="T38" s="341">
        <f t="shared" si="4"/>
        <v>0</v>
      </c>
      <c r="U38" s="342">
        <f t="shared" si="5"/>
        <v>0</v>
      </c>
    </row>
    <row r="39" spans="1:21" ht="14.25">
      <c r="A39" s="277">
        <v>30</v>
      </c>
      <c r="B39" s="378" t="s">
        <v>1019</v>
      </c>
      <c r="C39" s="380"/>
      <c r="D39" s="381">
        <f>'记账凭证汇总'!E167-'记账凭证汇总'!F167</f>
        <v>0</v>
      </c>
      <c r="E39" s="279">
        <f>'记账凭证汇总'!I167-'记账凭证汇总'!J167</f>
        <v>0</v>
      </c>
      <c r="F39" s="163">
        <f>'记账凭证汇总'!M167-'记账凭证汇总'!N167</f>
        <v>0</v>
      </c>
      <c r="G39" s="341">
        <f t="shared" si="0"/>
        <v>0</v>
      </c>
      <c r="H39" s="163">
        <f>'记账凭证汇总'!Q167-'记账凭证汇总'!R167</f>
        <v>0</v>
      </c>
      <c r="I39" s="163">
        <f>'记账凭证汇总'!U167-'记账凭证汇总'!V167</f>
        <v>0</v>
      </c>
      <c r="J39" s="163">
        <f>'记账凭证汇总'!Y167-'记账凭证汇总'!Z167</f>
        <v>0</v>
      </c>
      <c r="K39" s="341">
        <f>H39+I39+J39</f>
        <v>0</v>
      </c>
      <c r="L39" s="341">
        <f t="shared" si="2"/>
        <v>0</v>
      </c>
      <c r="M39" s="163">
        <f>'记账凭证汇总'!AC167-'记账凭证汇总'!AD167</f>
        <v>0</v>
      </c>
      <c r="N39" s="163">
        <f>'记账凭证汇总'!AG167-'记账凭证汇总'!AH167</f>
        <v>0</v>
      </c>
      <c r="O39" s="163">
        <f>'记账凭证汇总'!AK167-'记账凭证汇总'!AL167</f>
        <v>0</v>
      </c>
      <c r="P39" s="341">
        <f t="shared" si="3"/>
        <v>0</v>
      </c>
      <c r="Q39" s="163">
        <f>'记账凭证汇总'!AO167-'记账凭证汇总'!AP167</f>
        <v>0</v>
      </c>
      <c r="R39" s="163">
        <f>'记账凭证汇总'!AS167-'记账凭证汇总'!AT167</f>
        <v>0</v>
      </c>
      <c r="S39" s="163">
        <f>'记账凭证汇总'!AW167-'记账凭证汇总'!AX167</f>
        <v>0</v>
      </c>
      <c r="T39" s="341">
        <f t="shared" si="4"/>
        <v>0</v>
      </c>
      <c r="U39" s="342">
        <f t="shared" si="5"/>
        <v>0</v>
      </c>
    </row>
    <row r="40" spans="1:21" ht="14.25">
      <c r="A40" s="277">
        <v>31</v>
      </c>
      <c r="B40" s="378"/>
      <c r="C40" s="380"/>
      <c r="D40" s="381"/>
      <c r="E40" s="279"/>
      <c r="F40" s="163"/>
      <c r="G40" s="341">
        <f t="shared" si="0"/>
        <v>0</v>
      </c>
      <c r="H40" s="163"/>
      <c r="I40" s="163"/>
      <c r="J40" s="163"/>
      <c r="K40" s="341">
        <f t="shared" si="1"/>
        <v>0</v>
      </c>
      <c r="L40" s="341">
        <f t="shared" si="2"/>
        <v>0</v>
      </c>
      <c r="M40" s="163"/>
      <c r="N40" s="163"/>
      <c r="O40" s="163"/>
      <c r="P40" s="341">
        <f t="shared" si="3"/>
        <v>0</v>
      </c>
      <c r="Q40" s="163"/>
      <c r="R40" s="163"/>
      <c r="S40" s="163"/>
      <c r="T40" s="341">
        <f t="shared" si="4"/>
        <v>0</v>
      </c>
      <c r="U40" s="342">
        <f t="shared" si="5"/>
        <v>0</v>
      </c>
    </row>
    <row r="41" spans="1:21" ht="14.25" hidden="1">
      <c r="A41" s="277">
        <v>32</v>
      </c>
      <c r="B41" s="378"/>
      <c r="C41" s="380"/>
      <c r="D41" s="381"/>
      <c r="E41" s="279"/>
      <c r="F41" s="163"/>
      <c r="G41" s="341">
        <f>D41+E41+F41</f>
        <v>0</v>
      </c>
      <c r="H41" s="163"/>
      <c r="I41" s="163"/>
      <c r="J41" s="163"/>
      <c r="K41" s="341">
        <f t="shared" si="1"/>
        <v>0</v>
      </c>
      <c r="L41" s="341">
        <f t="shared" si="2"/>
        <v>0</v>
      </c>
      <c r="M41" s="163"/>
      <c r="N41" s="163"/>
      <c r="O41" s="163"/>
      <c r="P41" s="341">
        <f t="shared" si="3"/>
        <v>0</v>
      </c>
      <c r="Q41" s="163"/>
      <c r="R41" s="163"/>
      <c r="S41" s="163"/>
      <c r="T41" s="341">
        <f t="shared" si="4"/>
        <v>0</v>
      </c>
      <c r="U41" s="342">
        <f t="shared" si="5"/>
        <v>0</v>
      </c>
    </row>
    <row r="42" spans="1:21" ht="14.25" hidden="1">
      <c r="A42" s="277">
        <v>33</v>
      </c>
      <c r="B42" s="378"/>
      <c r="C42" s="380"/>
      <c r="D42" s="381"/>
      <c r="E42" s="279"/>
      <c r="F42" s="163"/>
      <c r="G42" s="341">
        <f t="shared" si="0"/>
        <v>0</v>
      </c>
      <c r="H42" s="163"/>
      <c r="I42" s="163"/>
      <c r="J42" s="163"/>
      <c r="K42" s="341">
        <f t="shared" si="1"/>
        <v>0</v>
      </c>
      <c r="L42" s="341">
        <f t="shared" si="2"/>
        <v>0</v>
      </c>
      <c r="M42" s="163"/>
      <c r="N42" s="163"/>
      <c r="O42" s="163"/>
      <c r="P42" s="341">
        <f t="shared" si="3"/>
        <v>0</v>
      </c>
      <c r="Q42" s="163"/>
      <c r="R42" s="163"/>
      <c r="S42" s="163"/>
      <c r="T42" s="341">
        <f t="shared" si="4"/>
        <v>0</v>
      </c>
      <c r="U42" s="342">
        <f t="shared" si="5"/>
        <v>0</v>
      </c>
    </row>
    <row r="43" spans="1:21" ht="14.25" hidden="1">
      <c r="A43" s="277">
        <v>34</v>
      </c>
      <c r="B43" s="378"/>
      <c r="C43" s="380"/>
      <c r="D43" s="381"/>
      <c r="E43" s="279"/>
      <c r="F43" s="163"/>
      <c r="G43" s="341">
        <f t="shared" si="0"/>
        <v>0</v>
      </c>
      <c r="H43" s="163"/>
      <c r="I43" s="163"/>
      <c r="J43" s="163"/>
      <c r="K43" s="341">
        <f t="shared" si="1"/>
        <v>0</v>
      </c>
      <c r="L43" s="341">
        <f t="shared" si="2"/>
        <v>0</v>
      </c>
      <c r="M43" s="163"/>
      <c r="N43" s="163"/>
      <c r="O43" s="163"/>
      <c r="P43" s="341">
        <f t="shared" si="3"/>
        <v>0</v>
      </c>
      <c r="Q43" s="163"/>
      <c r="R43" s="163"/>
      <c r="S43" s="163"/>
      <c r="T43" s="341">
        <f t="shared" si="4"/>
        <v>0</v>
      </c>
      <c r="U43" s="342">
        <f t="shared" si="5"/>
        <v>0</v>
      </c>
    </row>
    <row r="44" spans="1:21" ht="14.25" hidden="1">
      <c r="A44" s="277">
        <v>35</v>
      </c>
      <c r="B44" s="378"/>
      <c r="C44" s="380"/>
      <c r="D44" s="381"/>
      <c r="E44" s="279"/>
      <c r="F44" s="163"/>
      <c r="G44" s="341">
        <f t="shared" si="0"/>
        <v>0</v>
      </c>
      <c r="H44" s="163"/>
      <c r="I44" s="163"/>
      <c r="J44" s="163"/>
      <c r="K44" s="341">
        <f t="shared" si="1"/>
        <v>0</v>
      </c>
      <c r="L44" s="341">
        <f t="shared" si="2"/>
        <v>0</v>
      </c>
      <c r="M44" s="163"/>
      <c r="N44" s="163"/>
      <c r="O44" s="163"/>
      <c r="P44" s="341">
        <f t="shared" si="3"/>
        <v>0</v>
      </c>
      <c r="Q44" s="163"/>
      <c r="R44" s="163"/>
      <c r="S44" s="163"/>
      <c r="T44" s="341">
        <f t="shared" si="4"/>
        <v>0</v>
      </c>
      <c r="U44" s="342">
        <f t="shared" si="5"/>
        <v>0</v>
      </c>
    </row>
    <row r="45" spans="1:21" ht="14.25" hidden="1">
      <c r="A45" s="277">
        <v>36</v>
      </c>
      <c r="B45" s="570"/>
      <c r="C45" s="380"/>
      <c r="D45" s="281"/>
      <c r="E45" s="382"/>
      <c r="F45" s="382"/>
      <c r="G45" s="383"/>
      <c r="H45" s="382"/>
      <c r="I45" s="382"/>
      <c r="J45" s="382"/>
      <c r="K45" s="383"/>
      <c r="L45" s="383"/>
      <c r="M45" s="382"/>
      <c r="N45" s="382"/>
      <c r="O45" s="382"/>
      <c r="P45" s="383"/>
      <c r="Q45" s="382"/>
      <c r="R45" s="382"/>
      <c r="S45" s="384"/>
      <c r="T45" s="385"/>
      <c r="U45" s="386"/>
    </row>
    <row r="46" spans="1:21" ht="14.25" hidden="1">
      <c r="A46" s="277">
        <v>37</v>
      </c>
      <c r="B46" s="570"/>
      <c r="C46" s="380"/>
      <c r="D46" s="281"/>
      <c r="E46" s="163"/>
      <c r="F46" s="163"/>
      <c r="G46" s="341"/>
      <c r="H46" s="163"/>
      <c r="I46" s="163"/>
      <c r="J46" s="163"/>
      <c r="K46" s="341"/>
      <c r="L46" s="341"/>
      <c r="M46" s="163"/>
      <c r="N46" s="163"/>
      <c r="O46" s="163"/>
      <c r="P46" s="341"/>
      <c r="Q46" s="163"/>
      <c r="R46" s="163"/>
      <c r="S46" s="343"/>
      <c r="T46" s="344"/>
      <c r="U46" s="342"/>
    </row>
    <row r="47" spans="1:21" ht="15" thickBot="1">
      <c r="A47" s="569">
        <v>38</v>
      </c>
      <c r="B47" s="571" t="s">
        <v>1030</v>
      </c>
      <c r="C47" s="388"/>
      <c r="D47" s="287">
        <f>SUM(D10:D46)</f>
        <v>7000</v>
      </c>
      <c r="E47" s="288">
        <f>SUM(E10:E46)</f>
        <v>0</v>
      </c>
      <c r="F47" s="288">
        <f aca="true" t="shared" si="6" ref="F47:T47">SUM(F10:F46)</f>
        <v>0</v>
      </c>
      <c r="G47" s="345">
        <f t="shared" si="6"/>
        <v>7000</v>
      </c>
      <c r="H47" s="288">
        <f t="shared" si="6"/>
        <v>0</v>
      </c>
      <c r="I47" s="288">
        <f t="shared" si="6"/>
        <v>0</v>
      </c>
      <c r="J47" s="288">
        <f t="shared" si="6"/>
        <v>0</v>
      </c>
      <c r="K47" s="345">
        <f>SUM(K10:K46)</f>
        <v>0</v>
      </c>
      <c r="L47" s="345">
        <f>SUM(L10:L46)</f>
        <v>7000</v>
      </c>
      <c r="M47" s="288">
        <f t="shared" si="6"/>
        <v>0</v>
      </c>
      <c r="N47" s="288">
        <f t="shared" si="6"/>
        <v>0</v>
      </c>
      <c r="O47" s="288">
        <f t="shared" si="6"/>
        <v>0</v>
      </c>
      <c r="P47" s="345">
        <f t="shared" si="6"/>
        <v>0</v>
      </c>
      <c r="Q47" s="288">
        <f t="shared" si="6"/>
        <v>0</v>
      </c>
      <c r="R47" s="288">
        <f t="shared" si="6"/>
        <v>0</v>
      </c>
      <c r="S47" s="288">
        <f t="shared" si="6"/>
        <v>0</v>
      </c>
      <c r="T47" s="345">
        <f t="shared" si="6"/>
        <v>0</v>
      </c>
      <c r="U47" s="389">
        <f>SUM(U10:U46)</f>
        <v>0</v>
      </c>
    </row>
    <row r="48" spans="1:21" ht="16.5" thickBot="1" thickTop="1">
      <c r="A48" s="797" t="s">
        <v>432</v>
      </c>
      <c r="B48" s="798"/>
      <c r="C48" s="799"/>
      <c r="D48" s="390"/>
      <c r="E48" s="390"/>
      <c r="F48" s="390"/>
      <c r="G48" s="390"/>
      <c r="H48" s="390"/>
      <c r="I48" s="390"/>
      <c r="J48" s="390"/>
      <c r="K48" s="391"/>
      <c r="L48" s="391"/>
      <c r="M48" s="390"/>
      <c r="N48" s="390"/>
      <c r="O48" s="390"/>
      <c r="P48" s="391"/>
      <c r="Q48" s="390"/>
      <c r="R48" s="390"/>
      <c r="S48" s="390"/>
      <c r="T48" s="391"/>
      <c r="U48" s="391"/>
    </row>
    <row r="49" spans="1:21" ht="15" thickTop="1">
      <c r="A49" s="973" t="s">
        <v>36</v>
      </c>
      <c r="B49" s="975" t="s">
        <v>1031</v>
      </c>
      <c r="C49" s="254"/>
      <c r="D49" s="392" t="s">
        <v>777</v>
      </c>
      <c r="E49" s="393" t="s">
        <v>1032</v>
      </c>
      <c r="F49" s="394" t="s">
        <v>778</v>
      </c>
      <c r="G49" s="314" t="s">
        <v>421</v>
      </c>
      <c r="H49" s="393" t="s">
        <v>779</v>
      </c>
      <c r="I49" s="393" t="s">
        <v>780</v>
      </c>
      <c r="J49" s="393" t="s">
        <v>1033</v>
      </c>
      <c r="K49" s="314" t="s">
        <v>430</v>
      </c>
      <c r="L49" s="314" t="s">
        <v>423</v>
      </c>
      <c r="M49" s="393" t="s">
        <v>1034</v>
      </c>
      <c r="N49" s="393" t="s">
        <v>1035</v>
      </c>
      <c r="O49" s="393" t="s">
        <v>781</v>
      </c>
      <c r="P49" s="316" t="s">
        <v>427</v>
      </c>
      <c r="Q49" s="393" t="s">
        <v>1036</v>
      </c>
      <c r="R49" s="393" t="s">
        <v>782</v>
      </c>
      <c r="S49" s="395" t="s">
        <v>783</v>
      </c>
      <c r="T49" s="316" t="s">
        <v>428</v>
      </c>
      <c r="U49" s="396" t="s">
        <v>429</v>
      </c>
    </row>
    <row r="50" spans="1:21" ht="15.75" thickBot="1">
      <c r="A50" s="974"/>
      <c r="B50" s="976"/>
      <c r="C50" s="258"/>
      <c r="D50" s="397" t="s">
        <v>763</v>
      </c>
      <c r="E50" s="398" t="s">
        <v>764</v>
      </c>
      <c r="F50" s="399" t="s">
        <v>765</v>
      </c>
      <c r="G50" s="320" t="s">
        <v>1037</v>
      </c>
      <c r="H50" s="398" t="s">
        <v>766</v>
      </c>
      <c r="I50" s="398" t="s">
        <v>767</v>
      </c>
      <c r="J50" s="398" t="s">
        <v>768</v>
      </c>
      <c r="K50" s="320" t="s">
        <v>810</v>
      </c>
      <c r="L50" s="320" t="s">
        <v>17</v>
      </c>
      <c r="M50" s="398" t="s">
        <v>769</v>
      </c>
      <c r="N50" s="398" t="s">
        <v>770</v>
      </c>
      <c r="O50" s="398" t="s">
        <v>771</v>
      </c>
      <c r="P50" s="321" t="s">
        <v>18</v>
      </c>
      <c r="Q50" s="398" t="s">
        <v>772</v>
      </c>
      <c r="R50" s="398" t="s">
        <v>773</v>
      </c>
      <c r="S50" s="400" t="s">
        <v>774</v>
      </c>
      <c r="T50" s="321" t="s">
        <v>19</v>
      </c>
      <c r="U50" s="401" t="s">
        <v>20</v>
      </c>
    </row>
    <row r="51" spans="1:21" ht="15.75">
      <c r="A51" s="981" t="s">
        <v>41</v>
      </c>
      <c r="B51" s="976" t="s">
        <v>1027</v>
      </c>
      <c r="C51" s="258"/>
      <c r="D51" s="263" t="s">
        <v>984</v>
      </c>
      <c r="E51" s="264" t="s">
        <v>1008</v>
      </c>
      <c r="F51" s="264" t="s">
        <v>984</v>
      </c>
      <c r="G51" s="326" t="s">
        <v>985</v>
      </c>
      <c r="H51" s="264" t="s">
        <v>984</v>
      </c>
      <c r="I51" s="264" t="s">
        <v>984</v>
      </c>
      <c r="J51" s="264" t="s">
        <v>984</v>
      </c>
      <c r="K51" s="326" t="s">
        <v>985</v>
      </c>
      <c r="L51" s="326" t="s">
        <v>985</v>
      </c>
      <c r="M51" s="264" t="s">
        <v>984</v>
      </c>
      <c r="N51" s="264" t="s">
        <v>984</v>
      </c>
      <c r="O51" s="264" t="s">
        <v>984</v>
      </c>
      <c r="P51" s="326" t="s">
        <v>985</v>
      </c>
      <c r="Q51" s="264" t="s">
        <v>984</v>
      </c>
      <c r="R51" s="264" t="s">
        <v>984</v>
      </c>
      <c r="S51" s="325" t="s">
        <v>984</v>
      </c>
      <c r="T51" s="328" t="s">
        <v>985</v>
      </c>
      <c r="U51" s="402" t="s">
        <v>985</v>
      </c>
    </row>
    <row r="52" spans="1:21" ht="15" customHeight="1" thickBot="1">
      <c r="A52" s="982"/>
      <c r="B52" s="977"/>
      <c r="C52" s="266"/>
      <c r="D52" s="293" t="s">
        <v>986</v>
      </c>
      <c r="E52" s="294" t="s">
        <v>986</v>
      </c>
      <c r="F52" s="294" t="s">
        <v>986</v>
      </c>
      <c r="G52" s="348" t="s">
        <v>986</v>
      </c>
      <c r="H52" s="294" t="s">
        <v>986</v>
      </c>
      <c r="I52" s="294" t="s">
        <v>986</v>
      </c>
      <c r="J52" s="294" t="s">
        <v>986</v>
      </c>
      <c r="K52" s="348" t="s">
        <v>986</v>
      </c>
      <c r="L52" s="348" t="s">
        <v>986</v>
      </c>
      <c r="M52" s="294" t="s">
        <v>986</v>
      </c>
      <c r="N52" s="294" t="s">
        <v>986</v>
      </c>
      <c r="O52" s="294" t="s">
        <v>986</v>
      </c>
      <c r="P52" s="348" t="s">
        <v>986</v>
      </c>
      <c r="Q52" s="294" t="s">
        <v>986</v>
      </c>
      <c r="R52" s="294" t="s">
        <v>986</v>
      </c>
      <c r="S52" s="349" t="s">
        <v>986</v>
      </c>
      <c r="T52" s="350" t="s">
        <v>986</v>
      </c>
      <c r="U52" s="403" t="s">
        <v>986</v>
      </c>
    </row>
    <row r="53" spans="1:21" ht="15" thickTop="1">
      <c r="A53" s="404">
        <v>1</v>
      </c>
      <c r="B53" s="378" t="s">
        <v>713</v>
      </c>
      <c r="C53" s="379"/>
      <c r="D53" s="572">
        <f aca="true" t="shared" si="7" ref="D53:D89">D10</f>
        <v>500</v>
      </c>
      <c r="E53" s="573">
        <f aca="true" t="shared" si="8" ref="E53:S68">D53+E10</f>
        <v>500</v>
      </c>
      <c r="F53" s="573">
        <f t="shared" si="8"/>
        <v>500</v>
      </c>
      <c r="G53" s="574">
        <f>F53</f>
        <v>500</v>
      </c>
      <c r="H53" s="573">
        <f aca="true" t="shared" si="9" ref="H53:H89">F53+H10</f>
        <v>500</v>
      </c>
      <c r="I53" s="573">
        <f t="shared" si="8"/>
        <v>500</v>
      </c>
      <c r="J53" s="573">
        <f t="shared" si="8"/>
        <v>500</v>
      </c>
      <c r="K53" s="574">
        <f>J53</f>
        <v>500</v>
      </c>
      <c r="L53" s="574">
        <f>J53</f>
        <v>500</v>
      </c>
      <c r="M53" s="573">
        <f aca="true" t="shared" si="10" ref="M53:M89">J53+M10</f>
        <v>500</v>
      </c>
      <c r="N53" s="573">
        <f t="shared" si="8"/>
        <v>500</v>
      </c>
      <c r="O53" s="573">
        <f t="shared" si="8"/>
        <v>500</v>
      </c>
      <c r="P53" s="574">
        <f>O53</f>
        <v>500</v>
      </c>
      <c r="Q53" s="573">
        <f aca="true" t="shared" si="11" ref="Q53:Q89">O53+Q10</f>
        <v>500</v>
      </c>
      <c r="R53" s="573">
        <f t="shared" si="8"/>
        <v>500</v>
      </c>
      <c r="S53" s="575">
        <f>R53+S10</f>
        <v>500</v>
      </c>
      <c r="T53" s="576">
        <f>S53</f>
        <v>500</v>
      </c>
      <c r="U53" s="577">
        <f>S53</f>
        <v>500</v>
      </c>
    </row>
    <row r="54" spans="1:21" ht="14.25">
      <c r="A54" s="282">
        <v>2</v>
      </c>
      <c r="B54" s="378" t="s">
        <v>520</v>
      </c>
      <c r="C54" s="380"/>
      <c r="D54" s="578">
        <f t="shared" si="7"/>
        <v>0</v>
      </c>
      <c r="E54" s="579">
        <f t="shared" si="8"/>
        <v>0</v>
      </c>
      <c r="F54" s="579">
        <f t="shared" si="8"/>
        <v>0</v>
      </c>
      <c r="G54" s="574">
        <f aca="true" t="shared" si="12" ref="G54:G89">F54</f>
        <v>0</v>
      </c>
      <c r="H54" s="579">
        <f t="shared" si="9"/>
        <v>0</v>
      </c>
      <c r="I54" s="579">
        <f t="shared" si="8"/>
        <v>0</v>
      </c>
      <c r="J54" s="579">
        <f t="shared" si="8"/>
        <v>0</v>
      </c>
      <c r="K54" s="574">
        <f aca="true" t="shared" si="13" ref="K54:K89">J54</f>
        <v>0</v>
      </c>
      <c r="L54" s="574">
        <f aca="true" t="shared" si="14" ref="L54:L62">J54</f>
        <v>0</v>
      </c>
      <c r="M54" s="579">
        <f t="shared" si="10"/>
        <v>0</v>
      </c>
      <c r="N54" s="579">
        <f t="shared" si="8"/>
        <v>0</v>
      </c>
      <c r="O54" s="579">
        <f t="shared" si="8"/>
        <v>0</v>
      </c>
      <c r="P54" s="574">
        <f aca="true" t="shared" si="15" ref="P54:P89">O54</f>
        <v>0</v>
      </c>
      <c r="Q54" s="579">
        <f t="shared" si="11"/>
        <v>0</v>
      </c>
      <c r="R54" s="579">
        <f t="shared" si="8"/>
        <v>0</v>
      </c>
      <c r="S54" s="573">
        <f t="shared" si="8"/>
        <v>0</v>
      </c>
      <c r="T54" s="576">
        <f aca="true" t="shared" si="16" ref="T54:T89">S54</f>
        <v>0</v>
      </c>
      <c r="U54" s="580">
        <f aca="true" t="shared" si="17" ref="U54:U89">S54</f>
        <v>0</v>
      </c>
    </row>
    <row r="55" spans="1:21" ht="14.25">
      <c r="A55" s="282">
        <v>3</v>
      </c>
      <c r="B55" s="378" t="s">
        <v>31</v>
      </c>
      <c r="C55" s="380"/>
      <c r="D55" s="578">
        <f t="shared" si="7"/>
        <v>0</v>
      </c>
      <c r="E55" s="579">
        <f t="shared" si="8"/>
        <v>0</v>
      </c>
      <c r="F55" s="579">
        <f t="shared" si="8"/>
        <v>0</v>
      </c>
      <c r="G55" s="574">
        <f t="shared" si="12"/>
        <v>0</v>
      </c>
      <c r="H55" s="579">
        <f t="shared" si="9"/>
        <v>0</v>
      </c>
      <c r="I55" s="579">
        <f t="shared" si="8"/>
        <v>0</v>
      </c>
      <c r="J55" s="579">
        <f t="shared" si="8"/>
        <v>0</v>
      </c>
      <c r="K55" s="574">
        <f t="shared" si="13"/>
        <v>0</v>
      </c>
      <c r="L55" s="574">
        <f t="shared" si="14"/>
        <v>0</v>
      </c>
      <c r="M55" s="579">
        <f t="shared" si="10"/>
        <v>0</v>
      </c>
      <c r="N55" s="579">
        <f t="shared" si="8"/>
        <v>0</v>
      </c>
      <c r="O55" s="579">
        <f t="shared" si="8"/>
        <v>0</v>
      </c>
      <c r="P55" s="574">
        <f t="shared" si="15"/>
        <v>0</v>
      </c>
      <c r="Q55" s="579">
        <f t="shared" si="11"/>
        <v>0</v>
      </c>
      <c r="R55" s="579">
        <f t="shared" si="8"/>
        <v>0</v>
      </c>
      <c r="S55" s="573">
        <f t="shared" si="8"/>
        <v>0</v>
      </c>
      <c r="T55" s="576">
        <f t="shared" si="16"/>
        <v>0</v>
      </c>
      <c r="U55" s="580">
        <f t="shared" si="17"/>
        <v>0</v>
      </c>
    </row>
    <row r="56" spans="1:21" ht="14.25">
      <c r="A56" s="282">
        <v>4</v>
      </c>
      <c r="B56" s="378" t="s">
        <v>30</v>
      </c>
      <c r="C56" s="380"/>
      <c r="D56" s="578">
        <f t="shared" si="7"/>
        <v>0</v>
      </c>
      <c r="E56" s="579">
        <f t="shared" si="8"/>
        <v>0</v>
      </c>
      <c r="F56" s="579">
        <f t="shared" si="8"/>
        <v>0</v>
      </c>
      <c r="G56" s="574">
        <f t="shared" si="12"/>
        <v>0</v>
      </c>
      <c r="H56" s="579">
        <f t="shared" si="9"/>
        <v>0</v>
      </c>
      <c r="I56" s="579">
        <f t="shared" si="8"/>
        <v>0</v>
      </c>
      <c r="J56" s="579">
        <f t="shared" si="8"/>
        <v>0</v>
      </c>
      <c r="K56" s="574">
        <f t="shared" si="13"/>
        <v>0</v>
      </c>
      <c r="L56" s="574">
        <f t="shared" si="14"/>
        <v>0</v>
      </c>
      <c r="M56" s="579">
        <f t="shared" si="10"/>
        <v>0</v>
      </c>
      <c r="N56" s="579">
        <f t="shared" si="8"/>
        <v>0</v>
      </c>
      <c r="O56" s="579">
        <f t="shared" si="8"/>
        <v>0</v>
      </c>
      <c r="P56" s="574">
        <f t="shared" si="15"/>
        <v>0</v>
      </c>
      <c r="Q56" s="579">
        <f t="shared" si="11"/>
        <v>0</v>
      </c>
      <c r="R56" s="579">
        <f t="shared" si="8"/>
        <v>0</v>
      </c>
      <c r="S56" s="573">
        <f t="shared" si="8"/>
        <v>0</v>
      </c>
      <c r="T56" s="576">
        <f t="shared" si="16"/>
        <v>0</v>
      </c>
      <c r="U56" s="580">
        <f t="shared" si="17"/>
        <v>0</v>
      </c>
    </row>
    <row r="57" spans="1:21" ht="14.25">
      <c r="A57" s="282">
        <v>5</v>
      </c>
      <c r="B57" s="378" t="s">
        <v>25</v>
      </c>
      <c r="C57" s="380"/>
      <c r="D57" s="578">
        <f t="shared" si="7"/>
        <v>0</v>
      </c>
      <c r="E57" s="579">
        <f t="shared" si="8"/>
        <v>0</v>
      </c>
      <c r="F57" s="579">
        <f t="shared" si="8"/>
        <v>0</v>
      </c>
      <c r="G57" s="574">
        <f t="shared" si="12"/>
        <v>0</v>
      </c>
      <c r="H57" s="579">
        <f t="shared" si="9"/>
        <v>0</v>
      </c>
      <c r="I57" s="579">
        <f t="shared" si="8"/>
        <v>0</v>
      </c>
      <c r="J57" s="579">
        <f t="shared" si="8"/>
        <v>0</v>
      </c>
      <c r="K57" s="574">
        <f t="shared" si="13"/>
        <v>0</v>
      </c>
      <c r="L57" s="574">
        <f t="shared" si="14"/>
        <v>0</v>
      </c>
      <c r="M57" s="579">
        <f t="shared" si="10"/>
        <v>0</v>
      </c>
      <c r="N57" s="579">
        <f t="shared" si="8"/>
        <v>0</v>
      </c>
      <c r="O57" s="579">
        <f t="shared" si="8"/>
        <v>0</v>
      </c>
      <c r="P57" s="574">
        <f t="shared" si="15"/>
        <v>0</v>
      </c>
      <c r="Q57" s="579">
        <f t="shared" si="11"/>
        <v>0</v>
      </c>
      <c r="R57" s="579">
        <f t="shared" si="8"/>
        <v>0</v>
      </c>
      <c r="S57" s="573">
        <f t="shared" si="8"/>
        <v>0</v>
      </c>
      <c r="T57" s="576">
        <f t="shared" si="16"/>
        <v>0</v>
      </c>
      <c r="U57" s="580">
        <f t="shared" si="17"/>
        <v>0</v>
      </c>
    </row>
    <row r="58" spans="1:21" ht="14.25">
      <c r="A58" s="282">
        <v>6</v>
      </c>
      <c r="B58" s="378" t="s">
        <v>694</v>
      </c>
      <c r="C58" s="380"/>
      <c r="D58" s="578">
        <f t="shared" si="7"/>
        <v>0</v>
      </c>
      <c r="E58" s="579">
        <f t="shared" si="8"/>
        <v>0</v>
      </c>
      <c r="F58" s="579">
        <f t="shared" si="8"/>
        <v>0</v>
      </c>
      <c r="G58" s="574">
        <f t="shared" si="12"/>
        <v>0</v>
      </c>
      <c r="H58" s="579">
        <f t="shared" si="9"/>
        <v>0</v>
      </c>
      <c r="I58" s="579">
        <f t="shared" si="8"/>
        <v>0</v>
      </c>
      <c r="J58" s="579">
        <f t="shared" si="8"/>
        <v>0</v>
      </c>
      <c r="K58" s="574">
        <f t="shared" si="13"/>
        <v>0</v>
      </c>
      <c r="L58" s="574">
        <f t="shared" si="14"/>
        <v>0</v>
      </c>
      <c r="M58" s="579">
        <f t="shared" si="10"/>
        <v>0</v>
      </c>
      <c r="N58" s="579">
        <f t="shared" si="8"/>
        <v>0</v>
      </c>
      <c r="O58" s="579">
        <f t="shared" si="8"/>
        <v>0</v>
      </c>
      <c r="P58" s="574">
        <f t="shared" si="15"/>
        <v>0</v>
      </c>
      <c r="Q58" s="579">
        <f t="shared" si="11"/>
        <v>0</v>
      </c>
      <c r="R58" s="579">
        <f t="shared" si="8"/>
        <v>0</v>
      </c>
      <c r="S58" s="573">
        <f t="shared" si="8"/>
        <v>0</v>
      </c>
      <c r="T58" s="576">
        <f t="shared" si="16"/>
        <v>0</v>
      </c>
      <c r="U58" s="580">
        <f t="shared" si="17"/>
        <v>0</v>
      </c>
    </row>
    <row r="59" spans="1:21" ht="14.25">
      <c r="A59" s="282">
        <v>7</v>
      </c>
      <c r="B59" s="378" t="s">
        <v>1017</v>
      </c>
      <c r="C59" s="380"/>
      <c r="D59" s="578">
        <f t="shared" si="7"/>
        <v>0</v>
      </c>
      <c r="E59" s="579">
        <f t="shared" si="8"/>
        <v>0</v>
      </c>
      <c r="F59" s="579">
        <f t="shared" si="8"/>
        <v>0</v>
      </c>
      <c r="G59" s="574">
        <f t="shared" si="12"/>
        <v>0</v>
      </c>
      <c r="H59" s="579">
        <f t="shared" si="9"/>
        <v>0</v>
      </c>
      <c r="I59" s="579">
        <f t="shared" si="8"/>
        <v>0</v>
      </c>
      <c r="J59" s="579">
        <f t="shared" si="8"/>
        <v>0</v>
      </c>
      <c r="K59" s="574">
        <f t="shared" si="13"/>
        <v>0</v>
      </c>
      <c r="L59" s="574">
        <f t="shared" si="14"/>
        <v>0</v>
      </c>
      <c r="M59" s="579">
        <f t="shared" si="10"/>
        <v>0</v>
      </c>
      <c r="N59" s="579">
        <f t="shared" si="8"/>
        <v>0</v>
      </c>
      <c r="O59" s="579">
        <f t="shared" si="8"/>
        <v>0</v>
      </c>
      <c r="P59" s="574">
        <f t="shared" si="15"/>
        <v>0</v>
      </c>
      <c r="Q59" s="579">
        <f t="shared" si="11"/>
        <v>0</v>
      </c>
      <c r="R59" s="579">
        <f t="shared" si="8"/>
        <v>0</v>
      </c>
      <c r="S59" s="573">
        <f t="shared" si="8"/>
        <v>0</v>
      </c>
      <c r="T59" s="576">
        <f t="shared" si="16"/>
        <v>0</v>
      </c>
      <c r="U59" s="580">
        <f t="shared" si="17"/>
        <v>0</v>
      </c>
    </row>
    <row r="60" spans="1:21" ht="14.25">
      <c r="A60" s="282">
        <v>8</v>
      </c>
      <c r="B60" s="378" t="s">
        <v>1018</v>
      </c>
      <c r="C60" s="380"/>
      <c r="D60" s="581">
        <f t="shared" si="7"/>
        <v>0</v>
      </c>
      <c r="E60" s="582">
        <f t="shared" si="8"/>
        <v>0</v>
      </c>
      <c r="F60" s="582">
        <f t="shared" si="8"/>
        <v>0</v>
      </c>
      <c r="G60" s="574">
        <f t="shared" si="12"/>
        <v>0</v>
      </c>
      <c r="H60" s="582">
        <f t="shared" si="9"/>
        <v>0</v>
      </c>
      <c r="I60" s="582">
        <f t="shared" si="8"/>
        <v>0</v>
      </c>
      <c r="J60" s="582">
        <f t="shared" si="8"/>
        <v>0</v>
      </c>
      <c r="K60" s="574">
        <f t="shared" si="13"/>
        <v>0</v>
      </c>
      <c r="L60" s="574">
        <f t="shared" si="14"/>
        <v>0</v>
      </c>
      <c r="M60" s="582">
        <f t="shared" si="10"/>
        <v>0</v>
      </c>
      <c r="N60" s="582">
        <f t="shared" si="8"/>
        <v>0</v>
      </c>
      <c r="O60" s="582">
        <f t="shared" si="8"/>
        <v>0</v>
      </c>
      <c r="P60" s="574">
        <f t="shared" si="15"/>
        <v>0</v>
      </c>
      <c r="Q60" s="582">
        <f t="shared" si="11"/>
        <v>0</v>
      </c>
      <c r="R60" s="582">
        <f t="shared" si="8"/>
        <v>0</v>
      </c>
      <c r="S60" s="573">
        <f t="shared" si="8"/>
        <v>0</v>
      </c>
      <c r="T60" s="576">
        <f t="shared" si="16"/>
        <v>0</v>
      </c>
      <c r="U60" s="580">
        <f t="shared" si="17"/>
        <v>0</v>
      </c>
    </row>
    <row r="61" spans="1:21" ht="14.25">
      <c r="A61" s="282">
        <v>9</v>
      </c>
      <c r="B61" s="378" t="s">
        <v>384</v>
      </c>
      <c r="C61" s="380"/>
      <c r="D61" s="630">
        <f t="shared" si="7"/>
        <v>0</v>
      </c>
      <c r="E61" s="631">
        <f t="shared" si="8"/>
        <v>0</v>
      </c>
      <c r="F61" s="631">
        <f t="shared" si="8"/>
        <v>0</v>
      </c>
      <c r="G61" s="625">
        <f t="shared" si="12"/>
        <v>0</v>
      </c>
      <c r="H61" s="631">
        <f t="shared" si="9"/>
        <v>0</v>
      </c>
      <c r="I61" s="631">
        <f t="shared" si="8"/>
        <v>0</v>
      </c>
      <c r="J61" s="631">
        <f t="shared" si="8"/>
        <v>0</v>
      </c>
      <c r="K61" s="625">
        <f t="shared" si="13"/>
        <v>0</v>
      </c>
      <c r="L61" s="625">
        <f t="shared" si="14"/>
        <v>0</v>
      </c>
      <c r="M61" s="631">
        <f t="shared" si="10"/>
        <v>0</v>
      </c>
      <c r="N61" s="631">
        <f t="shared" si="8"/>
        <v>0</v>
      </c>
      <c r="O61" s="631">
        <f t="shared" si="8"/>
        <v>0</v>
      </c>
      <c r="P61" s="625">
        <f t="shared" si="15"/>
        <v>0</v>
      </c>
      <c r="Q61" s="631">
        <f t="shared" si="11"/>
        <v>0</v>
      </c>
      <c r="R61" s="631">
        <f t="shared" si="8"/>
        <v>0</v>
      </c>
      <c r="S61" s="626">
        <f t="shared" si="8"/>
        <v>0</v>
      </c>
      <c r="T61" s="627">
        <f t="shared" si="16"/>
        <v>0</v>
      </c>
      <c r="U61" s="628">
        <f t="shared" si="17"/>
        <v>0</v>
      </c>
    </row>
    <row r="62" spans="1:21" ht="14.25">
      <c r="A62" s="282">
        <v>10</v>
      </c>
      <c r="B62" s="378" t="s">
        <v>385</v>
      </c>
      <c r="C62" s="380"/>
      <c r="D62" s="581">
        <f t="shared" si="7"/>
        <v>0</v>
      </c>
      <c r="E62" s="582">
        <f t="shared" si="8"/>
        <v>0</v>
      </c>
      <c r="F62" s="582">
        <f t="shared" si="8"/>
        <v>0</v>
      </c>
      <c r="G62" s="574">
        <f t="shared" si="12"/>
        <v>0</v>
      </c>
      <c r="H62" s="582">
        <f t="shared" si="9"/>
        <v>0</v>
      </c>
      <c r="I62" s="582">
        <f t="shared" si="8"/>
        <v>0</v>
      </c>
      <c r="J62" s="582">
        <f t="shared" si="8"/>
        <v>0</v>
      </c>
      <c r="K62" s="574">
        <f t="shared" si="13"/>
        <v>0</v>
      </c>
      <c r="L62" s="574">
        <f t="shared" si="14"/>
        <v>0</v>
      </c>
      <c r="M62" s="582">
        <f t="shared" si="10"/>
        <v>0</v>
      </c>
      <c r="N62" s="582">
        <f t="shared" si="8"/>
        <v>0</v>
      </c>
      <c r="O62" s="582">
        <f t="shared" si="8"/>
        <v>0</v>
      </c>
      <c r="P62" s="574">
        <f t="shared" si="15"/>
        <v>0</v>
      </c>
      <c r="Q62" s="582">
        <f t="shared" si="11"/>
        <v>0</v>
      </c>
      <c r="R62" s="582">
        <f t="shared" si="8"/>
        <v>0</v>
      </c>
      <c r="S62" s="573">
        <f t="shared" si="8"/>
        <v>0</v>
      </c>
      <c r="T62" s="576">
        <f t="shared" si="16"/>
        <v>0</v>
      </c>
      <c r="U62" s="580">
        <f t="shared" si="17"/>
        <v>0</v>
      </c>
    </row>
    <row r="63" spans="1:21" ht="14.25">
      <c r="A63" s="282">
        <v>11</v>
      </c>
      <c r="B63" s="378" t="s">
        <v>29</v>
      </c>
      <c r="C63" s="380"/>
      <c r="D63" s="581">
        <f t="shared" si="7"/>
        <v>0</v>
      </c>
      <c r="E63" s="582">
        <f t="shared" si="8"/>
        <v>0</v>
      </c>
      <c r="F63" s="582">
        <f t="shared" si="8"/>
        <v>0</v>
      </c>
      <c r="G63" s="574">
        <f t="shared" si="12"/>
        <v>0</v>
      </c>
      <c r="H63" s="582">
        <f t="shared" si="9"/>
        <v>0</v>
      </c>
      <c r="I63" s="582">
        <f t="shared" si="8"/>
        <v>0</v>
      </c>
      <c r="J63" s="582">
        <f t="shared" si="8"/>
        <v>0</v>
      </c>
      <c r="K63" s="574">
        <f t="shared" si="13"/>
        <v>0</v>
      </c>
      <c r="L63" s="574">
        <f aca="true" t="shared" si="18" ref="L63:L76">J63</f>
        <v>0</v>
      </c>
      <c r="M63" s="582">
        <f t="shared" si="10"/>
        <v>0</v>
      </c>
      <c r="N63" s="582">
        <f t="shared" si="8"/>
        <v>0</v>
      </c>
      <c r="O63" s="582">
        <f t="shared" si="8"/>
        <v>0</v>
      </c>
      <c r="P63" s="574">
        <f t="shared" si="15"/>
        <v>0</v>
      </c>
      <c r="Q63" s="582">
        <f t="shared" si="11"/>
        <v>0</v>
      </c>
      <c r="R63" s="582">
        <f t="shared" si="8"/>
        <v>0</v>
      </c>
      <c r="S63" s="573">
        <f t="shared" si="8"/>
        <v>0</v>
      </c>
      <c r="T63" s="576">
        <f t="shared" si="16"/>
        <v>0</v>
      </c>
      <c r="U63" s="580">
        <f t="shared" si="17"/>
        <v>0</v>
      </c>
    </row>
    <row r="64" spans="1:21" ht="14.25">
      <c r="A64" s="282">
        <v>12</v>
      </c>
      <c r="B64" s="378" t="s">
        <v>27</v>
      </c>
      <c r="C64" s="380"/>
      <c r="D64" s="581">
        <f t="shared" si="7"/>
        <v>0</v>
      </c>
      <c r="E64" s="582">
        <f t="shared" si="8"/>
        <v>0</v>
      </c>
      <c r="F64" s="582">
        <f t="shared" si="8"/>
        <v>0</v>
      </c>
      <c r="G64" s="574">
        <f t="shared" si="12"/>
        <v>0</v>
      </c>
      <c r="H64" s="582">
        <f t="shared" si="9"/>
        <v>0</v>
      </c>
      <c r="I64" s="582">
        <f t="shared" si="8"/>
        <v>0</v>
      </c>
      <c r="J64" s="582">
        <f t="shared" si="8"/>
        <v>0</v>
      </c>
      <c r="K64" s="574">
        <f t="shared" si="13"/>
        <v>0</v>
      </c>
      <c r="L64" s="574">
        <f t="shared" si="18"/>
        <v>0</v>
      </c>
      <c r="M64" s="582">
        <f t="shared" si="10"/>
        <v>0</v>
      </c>
      <c r="N64" s="582">
        <f t="shared" si="8"/>
        <v>0</v>
      </c>
      <c r="O64" s="582">
        <f t="shared" si="8"/>
        <v>0</v>
      </c>
      <c r="P64" s="574">
        <f t="shared" si="15"/>
        <v>0</v>
      </c>
      <c r="Q64" s="582">
        <f t="shared" si="11"/>
        <v>0</v>
      </c>
      <c r="R64" s="582">
        <f t="shared" si="8"/>
        <v>0</v>
      </c>
      <c r="S64" s="573">
        <f t="shared" si="8"/>
        <v>0</v>
      </c>
      <c r="T64" s="576">
        <f t="shared" si="16"/>
        <v>0</v>
      </c>
      <c r="U64" s="580">
        <f t="shared" si="17"/>
        <v>0</v>
      </c>
    </row>
    <row r="65" spans="1:21" ht="14.25">
      <c r="A65" s="282">
        <v>13</v>
      </c>
      <c r="B65" s="378" t="s">
        <v>28</v>
      </c>
      <c r="C65" s="380"/>
      <c r="D65" s="581">
        <f t="shared" si="7"/>
        <v>0</v>
      </c>
      <c r="E65" s="582">
        <f t="shared" si="8"/>
        <v>0</v>
      </c>
      <c r="F65" s="582">
        <f t="shared" si="8"/>
        <v>0</v>
      </c>
      <c r="G65" s="574">
        <f t="shared" si="12"/>
        <v>0</v>
      </c>
      <c r="H65" s="582">
        <f t="shared" si="9"/>
        <v>0</v>
      </c>
      <c r="I65" s="582">
        <f t="shared" si="8"/>
        <v>0</v>
      </c>
      <c r="J65" s="582">
        <f t="shared" si="8"/>
        <v>0</v>
      </c>
      <c r="K65" s="574">
        <f t="shared" si="13"/>
        <v>0</v>
      </c>
      <c r="L65" s="574">
        <f t="shared" si="18"/>
        <v>0</v>
      </c>
      <c r="M65" s="582">
        <f t="shared" si="10"/>
        <v>0</v>
      </c>
      <c r="N65" s="582">
        <f t="shared" si="8"/>
        <v>0</v>
      </c>
      <c r="O65" s="582">
        <f t="shared" si="8"/>
        <v>0</v>
      </c>
      <c r="P65" s="574">
        <f t="shared" si="15"/>
        <v>0</v>
      </c>
      <c r="Q65" s="582">
        <f t="shared" si="11"/>
        <v>0</v>
      </c>
      <c r="R65" s="582">
        <f t="shared" si="8"/>
        <v>0</v>
      </c>
      <c r="S65" s="573">
        <f t="shared" si="8"/>
        <v>0</v>
      </c>
      <c r="T65" s="576">
        <f t="shared" si="16"/>
        <v>0</v>
      </c>
      <c r="U65" s="580">
        <f t="shared" si="17"/>
        <v>0</v>
      </c>
    </row>
    <row r="66" spans="1:21" ht="14.25">
      <c r="A66" s="282">
        <v>14</v>
      </c>
      <c r="B66" s="378" t="s">
        <v>24</v>
      </c>
      <c r="C66" s="380"/>
      <c r="D66" s="581">
        <f t="shared" si="7"/>
        <v>0</v>
      </c>
      <c r="E66" s="582">
        <f t="shared" si="8"/>
        <v>0</v>
      </c>
      <c r="F66" s="582">
        <f t="shared" si="8"/>
        <v>0</v>
      </c>
      <c r="G66" s="574">
        <f t="shared" si="12"/>
        <v>0</v>
      </c>
      <c r="H66" s="582">
        <f t="shared" si="9"/>
        <v>0</v>
      </c>
      <c r="I66" s="582">
        <f t="shared" si="8"/>
        <v>0</v>
      </c>
      <c r="J66" s="582">
        <f t="shared" si="8"/>
        <v>0</v>
      </c>
      <c r="K66" s="574">
        <f t="shared" si="13"/>
        <v>0</v>
      </c>
      <c r="L66" s="574">
        <f t="shared" si="18"/>
        <v>0</v>
      </c>
      <c r="M66" s="582">
        <f t="shared" si="10"/>
        <v>0</v>
      </c>
      <c r="N66" s="582">
        <f t="shared" si="8"/>
        <v>0</v>
      </c>
      <c r="O66" s="582">
        <f t="shared" si="8"/>
        <v>0</v>
      </c>
      <c r="P66" s="574">
        <f t="shared" si="15"/>
        <v>0</v>
      </c>
      <c r="Q66" s="582">
        <f t="shared" si="11"/>
        <v>0</v>
      </c>
      <c r="R66" s="582">
        <f t="shared" si="8"/>
        <v>0</v>
      </c>
      <c r="S66" s="573">
        <f t="shared" si="8"/>
        <v>0</v>
      </c>
      <c r="T66" s="576">
        <f t="shared" si="16"/>
        <v>0</v>
      </c>
      <c r="U66" s="580">
        <f t="shared" si="17"/>
        <v>0</v>
      </c>
    </row>
    <row r="67" spans="1:21" ht="14.25">
      <c r="A67" s="282">
        <v>15</v>
      </c>
      <c r="B67" s="378" t="s">
        <v>695</v>
      </c>
      <c r="C67" s="380"/>
      <c r="D67" s="581">
        <f t="shared" si="7"/>
        <v>0</v>
      </c>
      <c r="E67" s="579">
        <f t="shared" si="8"/>
        <v>0</v>
      </c>
      <c r="F67" s="579">
        <f t="shared" si="8"/>
        <v>0</v>
      </c>
      <c r="G67" s="574">
        <f t="shared" si="12"/>
        <v>0</v>
      </c>
      <c r="H67" s="579">
        <f t="shared" si="9"/>
        <v>0</v>
      </c>
      <c r="I67" s="579">
        <f t="shared" si="8"/>
        <v>0</v>
      </c>
      <c r="J67" s="579">
        <f t="shared" si="8"/>
        <v>0</v>
      </c>
      <c r="K67" s="574">
        <f t="shared" si="13"/>
        <v>0</v>
      </c>
      <c r="L67" s="574">
        <f t="shared" si="18"/>
        <v>0</v>
      </c>
      <c r="M67" s="579">
        <f t="shared" si="10"/>
        <v>0</v>
      </c>
      <c r="N67" s="579">
        <f t="shared" si="8"/>
        <v>0</v>
      </c>
      <c r="O67" s="579">
        <f t="shared" si="8"/>
        <v>0</v>
      </c>
      <c r="P67" s="574">
        <f t="shared" si="15"/>
        <v>0</v>
      </c>
      <c r="Q67" s="579">
        <f t="shared" si="11"/>
        <v>0</v>
      </c>
      <c r="R67" s="579">
        <f t="shared" si="8"/>
        <v>0</v>
      </c>
      <c r="S67" s="573">
        <f>R67+S24</f>
        <v>0</v>
      </c>
      <c r="T67" s="576">
        <f t="shared" si="16"/>
        <v>0</v>
      </c>
      <c r="U67" s="580">
        <f t="shared" si="17"/>
        <v>0</v>
      </c>
    </row>
    <row r="68" spans="1:21" ht="14.25">
      <c r="A68" s="282">
        <v>16</v>
      </c>
      <c r="B68" s="378" t="s">
        <v>696</v>
      </c>
      <c r="C68" s="380"/>
      <c r="D68" s="584">
        <f t="shared" si="7"/>
        <v>0</v>
      </c>
      <c r="E68" s="585">
        <f t="shared" si="8"/>
        <v>0</v>
      </c>
      <c r="F68" s="585">
        <f t="shared" si="8"/>
        <v>0</v>
      </c>
      <c r="G68" s="574">
        <f t="shared" si="12"/>
        <v>0</v>
      </c>
      <c r="H68" s="585">
        <f t="shared" si="9"/>
        <v>0</v>
      </c>
      <c r="I68" s="585">
        <f t="shared" si="8"/>
        <v>0</v>
      </c>
      <c r="J68" s="585">
        <f t="shared" si="8"/>
        <v>0</v>
      </c>
      <c r="K68" s="574">
        <f t="shared" si="13"/>
        <v>0</v>
      </c>
      <c r="L68" s="574">
        <f t="shared" si="18"/>
        <v>0</v>
      </c>
      <c r="M68" s="585">
        <f t="shared" si="10"/>
        <v>0</v>
      </c>
      <c r="N68" s="585">
        <f t="shared" si="8"/>
        <v>0</v>
      </c>
      <c r="O68" s="585">
        <f t="shared" si="8"/>
        <v>0</v>
      </c>
      <c r="P68" s="574">
        <f t="shared" si="15"/>
        <v>0</v>
      </c>
      <c r="Q68" s="585">
        <f t="shared" si="11"/>
        <v>0</v>
      </c>
      <c r="R68" s="585">
        <f t="shared" si="8"/>
        <v>0</v>
      </c>
      <c r="S68" s="573">
        <f>R68+S25</f>
        <v>0</v>
      </c>
      <c r="T68" s="576">
        <f t="shared" si="16"/>
        <v>0</v>
      </c>
      <c r="U68" s="580">
        <f t="shared" si="17"/>
        <v>0</v>
      </c>
    </row>
    <row r="69" spans="1:21" ht="14.25">
      <c r="A69" s="282">
        <v>17</v>
      </c>
      <c r="B69" s="378" t="s">
        <v>697</v>
      </c>
      <c r="C69" s="380"/>
      <c r="D69" s="586">
        <f t="shared" si="7"/>
        <v>0</v>
      </c>
      <c r="E69" s="587">
        <f aca="true" t="shared" si="19" ref="E69:S84">D69+E26</f>
        <v>0</v>
      </c>
      <c r="F69" s="587">
        <f t="shared" si="19"/>
        <v>0</v>
      </c>
      <c r="G69" s="574">
        <f t="shared" si="12"/>
        <v>0</v>
      </c>
      <c r="H69" s="587">
        <f t="shared" si="9"/>
        <v>0</v>
      </c>
      <c r="I69" s="587">
        <f t="shared" si="19"/>
        <v>0</v>
      </c>
      <c r="J69" s="587">
        <f t="shared" si="19"/>
        <v>0</v>
      </c>
      <c r="K69" s="574">
        <f t="shared" si="13"/>
        <v>0</v>
      </c>
      <c r="L69" s="574">
        <f t="shared" si="18"/>
        <v>0</v>
      </c>
      <c r="M69" s="587">
        <f t="shared" si="10"/>
        <v>0</v>
      </c>
      <c r="N69" s="587">
        <f t="shared" si="19"/>
        <v>0</v>
      </c>
      <c r="O69" s="587">
        <f t="shared" si="19"/>
        <v>0</v>
      </c>
      <c r="P69" s="574">
        <f t="shared" si="15"/>
        <v>0</v>
      </c>
      <c r="Q69" s="587">
        <f t="shared" si="11"/>
        <v>0</v>
      </c>
      <c r="R69" s="587">
        <f t="shared" si="19"/>
        <v>0</v>
      </c>
      <c r="S69" s="573">
        <f t="shared" si="19"/>
        <v>0</v>
      </c>
      <c r="T69" s="576">
        <f t="shared" si="16"/>
        <v>0</v>
      </c>
      <c r="U69" s="580">
        <f t="shared" si="17"/>
        <v>0</v>
      </c>
    </row>
    <row r="70" spans="1:21" ht="14.25">
      <c r="A70" s="282">
        <v>18</v>
      </c>
      <c r="B70" s="378" t="s">
        <v>698</v>
      </c>
      <c r="C70" s="380"/>
      <c r="D70" s="586">
        <f t="shared" si="7"/>
        <v>0</v>
      </c>
      <c r="E70" s="585">
        <f t="shared" si="19"/>
        <v>0</v>
      </c>
      <c r="F70" s="585">
        <f t="shared" si="19"/>
        <v>0</v>
      </c>
      <c r="G70" s="574">
        <f t="shared" si="12"/>
        <v>0</v>
      </c>
      <c r="H70" s="585">
        <f t="shared" si="9"/>
        <v>0</v>
      </c>
      <c r="I70" s="585">
        <f t="shared" si="19"/>
        <v>0</v>
      </c>
      <c r="J70" s="585">
        <f t="shared" si="19"/>
        <v>0</v>
      </c>
      <c r="K70" s="574">
        <f t="shared" si="13"/>
        <v>0</v>
      </c>
      <c r="L70" s="574">
        <f t="shared" si="18"/>
        <v>0</v>
      </c>
      <c r="M70" s="585">
        <f t="shared" si="10"/>
        <v>0</v>
      </c>
      <c r="N70" s="585">
        <f t="shared" si="19"/>
        <v>0</v>
      </c>
      <c r="O70" s="585">
        <f t="shared" si="19"/>
        <v>0</v>
      </c>
      <c r="P70" s="574">
        <f t="shared" si="15"/>
        <v>0</v>
      </c>
      <c r="Q70" s="585">
        <f t="shared" si="11"/>
        <v>0</v>
      </c>
      <c r="R70" s="585">
        <f t="shared" si="19"/>
        <v>0</v>
      </c>
      <c r="S70" s="573">
        <f t="shared" si="19"/>
        <v>0</v>
      </c>
      <c r="T70" s="576">
        <f t="shared" si="16"/>
        <v>0</v>
      </c>
      <c r="U70" s="580">
        <f t="shared" si="17"/>
        <v>0</v>
      </c>
    </row>
    <row r="71" spans="1:21" ht="14.25">
      <c r="A71" s="282">
        <v>19</v>
      </c>
      <c r="B71" s="378" t="s">
        <v>454</v>
      </c>
      <c r="C71" s="380"/>
      <c r="D71" s="584">
        <f t="shared" si="7"/>
        <v>600</v>
      </c>
      <c r="E71" s="588">
        <f t="shared" si="19"/>
        <v>600</v>
      </c>
      <c r="F71" s="588">
        <f t="shared" si="19"/>
        <v>600</v>
      </c>
      <c r="G71" s="574">
        <f t="shared" si="12"/>
        <v>600</v>
      </c>
      <c r="H71" s="588">
        <f t="shared" si="9"/>
        <v>600</v>
      </c>
      <c r="I71" s="588">
        <f t="shared" si="19"/>
        <v>600</v>
      </c>
      <c r="J71" s="588">
        <f t="shared" si="19"/>
        <v>600</v>
      </c>
      <c r="K71" s="574">
        <f t="shared" si="13"/>
        <v>600</v>
      </c>
      <c r="L71" s="574">
        <f t="shared" si="18"/>
        <v>600</v>
      </c>
      <c r="M71" s="588">
        <f t="shared" si="10"/>
        <v>600</v>
      </c>
      <c r="N71" s="588">
        <f t="shared" si="19"/>
        <v>600</v>
      </c>
      <c r="O71" s="588">
        <f t="shared" si="19"/>
        <v>600</v>
      </c>
      <c r="P71" s="574">
        <f t="shared" si="15"/>
        <v>600</v>
      </c>
      <c r="Q71" s="588">
        <f t="shared" si="11"/>
        <v>600</v>
      </c>
      <c r="R71" s="588">
        <f t="shared" si="19"/>
        <v>600</v>
      </c>
      <c r="S71" s="573">
        <f t="shared" si="19"/>
        <v>600</v>
      </c>
      <c r="T71" s="576">
        <f t="shared" si="16"/>
        <v>600</v>
      </c>
      <c r="U71" s="580">
        <f t="shared" si="17"/>
        <v>600</v>
      </c>
    </row>
    <row r="72" spans="1:21" ht="14.25">
      <c r="A72" s="282">
        <v>20</v>
      </c>
      <c r="B72" s="378" t="s">
        <v>513</v>
      </c>
      <c r="C72" s="380"/>
      <c r="D72" s="578">
        <f t="shared" si="7"/>
        <v>0</v>
      </c>
      <c r="E72" s="579">
        <f t="shared" si="19"/>
        <v>0</v>
      </c>
      <c r="F72" s="579">
        <f t="shared" si="19"/>
        <v>0</v>
      </c>
      <c r="G72" s="574">
        <f t="shared" si="12"/>
        <v>0</v>
      </c>
      <c r="H72" s="579">
        <f t="shared" si="9"/>
        <v>0</v>
      </c>
      <c r="I72" s="579">
        <f t="shared" si="19"/>
        <v>0</v>
      </c>
      <c r="J72" s="579">
        <f t="shared" si="19"/>
        <v>0</v>
      </c>
      <c r="K72" s="574">
        <f t="shared" si="13"/>
        <v>0</v>
      </c>
      <c r="L72" s="574">
        <f t="shared" si="18"/>
        <v>0</v>
      </c>
      <c r="M72" s="579">
        <f t="shared" si="10"/>
        <v>0</v>
      </c>
      <c r="N72" s="579">
        <f t="shared" si="19"/>
        <v>0</v>
      </c>
      <c r="O72" s="579">
        <f t="shared" si="19"/>
        <v>0</v>
      </c>
      <c r="P72" s="574">
        <f t="shared" si="15"/>
        <v>0</v>
      </c>
      <c r="Q72" s="579">
        <f t="shared" si="11"/>
        <v>0</v>
      </c>
      <c r="R72" s="579">
        <f t="shared" si="19"/>
        <v>0</v>
      </c>
      <c r="S72" s="573">
        <f t="shared" si="19"/>
        <v>0</v>
      </c>
      <c r="T72" s="576">
        <f t="shared" si="16"/>
        <v>0</v>
      </c>
      <c r="U72" s="580">
        <f t="shared" si="17"/>
        <v>0</v>
      </c>
    </row>
    <row r="73" spans="1:21" ht="14.25">
      <c r="A73" s="282">
        <v>21</v>
      </c>
      <c r="B73" s="378" t="s">
        <v>32</v>
      </c>
      <c r="C73" s="380"/>
      <c r="D73" s="578">
        <f t="shared" si="7"/>
        <v>5900</v>
      </c>
      <c r="E73" s="579">
        <f t="shared" si="19"/>
        <v>5900</v>
      </c>
      <c r="F73" s="579">
        <f t="shared" si="19"/>
        <v>5900</v>
      </c>
      <c r="G73" s="574">
        <f t="shared" si="12"/>
        <v>5900</v>
      </c>
      <c r="H73" s="579">
        <f t="shared" si="9"/>
        <v>5900</v>
      </c>
      <c r="I73" s="579">
        <f t="shared" si="19"/>
        <v>5900</v>
      </c>
      <c r="J73" s="579">
        <f t="shared" si="19"/>
        <v>5900</v>
      </c>
      <c r="K73" s="574">
        <f t="shared" si="13"/>
        <v>5900</v>
      </c>
      <c r="L73" s="574">
        <f t="shared" si="18"/>
        <v>5900</v>
      </c>
      <c r="M73" s="579">
        <f t="shared" si="10"/>
        <v>5900</v>
      </c>
      <c r="N73" s="579">
        <f t="shared" si="19"/>
        <v>5900</v>
      </c>
      <c r="O73" s="579">
        <f t="shared" si="19"/>
        <v>5900</v>
      </c>
      <c r="P73" s="574">
        <f t="shared" si="15"/>
        <v>5900</v>
      </c>
      <c r="Q73" s="579">
        <f t="shared" si="11"/>
        <v>5900</v>
      </c>
      <c r="R73" s="579">
        <f t="shared" si="19"/>
        <v>5900</v>
      </c>
      <c r="S73" s="573">
        <f t="shared" si="19"/>
        <v>5900</v>
      </c>
      <c r="T73" s="576">
        <f t="shared" si="16"/>
        <v>5900</v>
      </c>
      <c r="U73" s="580">
        <f t="shared" si="17"/>
        <v>5900</v>
      </c>
    </row>
    <row r="74" spans="1:21" ht="14.25">
      <c r="A74" s="282">
        <v>22</v>
      </c>
      <c r="B74" s="378" t="s">
        <v>699</v>
      </c>
      <c r="C74" s="380"/>
      <c r="D74" s="623">
        <f t="shared" si="7"/>
        <v>0</v>
      </c>
      <c r="E74" s="624">
        <f t="shared" si="19"/>
        <v>0</v>
      </c>
      <c r="F74" s="624">
        <f t="shared" si="19"/>
        <v>0</v>
      </c>
      <c r="G74" s="625">
        <f t="shared" si="12"/>
        <v>0</v>
      </c>
      <c r="H74" s="624">
        <f t="shared" si="9"/>
        <v>0</v>
      </c>
      <c r="I74" s="624">
        <f t="shared" si="19"/>
        <v>0</v>
      </c>
      <c r="J74" s="624">
        <f t="shared" si="19"/>
        <v>0</v>
      </c>
      <c r="K74" s="625">
        <f t="shared" si="13"/>
        <v>0</v>
      </c>
      <c r="L74" s="625">
        <f t="shared" si="18"/>
        <v>0</v>
      </c>
      <c r="M74" s="624">
        <f t="shared" si="10"/>
        <v>0</v>
      </c>
      <c r="N74" s="624">
        <f t="shared" si="19"/>
        <v>0</v>
      </c>
      <c r="O74" s="624">
        <f t="shared" si="19"/>
        <v>0</v>
      </c>
      <c r="P74" s="625">
        <f t="shared" si="15"/>
        <v>0</v>
      </c>
      <c r="Q74" s="624">
        <f t="shared" si="11"/>
        <v>0</v>
      </c>
      <c r="R74" s="624">
        <f t="shared" si="19"/>
        <v>0</v>
      </c>
      <c r="S74" s="626">
        <f t="shared" si="19"/>
        <v>0</v>
      </c>
      <c r="T74" s="627">
        <f t="shared" si="16"/>
        <v>0</v>
      </c>
      <c r="U74" s="628">
        <f t="shared" si="17"/>
        <v>0</v>
      </c>
    </row>
    <row r="75" spans="1:21" ht="14.25">
      <c r="A75" s="282">
        <v>23</v>
      </c>
      <c r="B75" s="378" t="s">
        <v>34</v>
      </c>
      <c r="C75" s="380"/>
      <c r="D75" s="578">
        <f t="shared" si="7"/>
        <v>0</v>
      </c>
      <c r="E75" s="590">
        <f t="shared" si="19"/>
        <v>0</v>
      </c>
      <c r="F75" s="590">
        <f t="shared" si="19"/>
        <v>0</v>
      </c>
      <c r="G75" s="574">
        <f t="shared" si="12"/>
        <v>0</v>
      </c>
      <c r="H75" s="590">
        <f t="shared" si="9"/>
        <v>0</v>
      </c>
      <c r="I75" s="590">
        <f t="shared" si="19"/>
        <v>0</v>
      </c>
      <c r="J75" s="590">
        <f t="shared" si="19"/>
        <v>0</v>
      </c>
      <c r="K75" s="574">
        <f t="shared" si="13"/>
        <v>0</v>
      </c>
      <c r="L75" s="574">
        <f t="shared" si="18"/>
        <v>0</v>
      </c>
      <c r="M75" s="590">
        <f t="shared" si="10"/>
        <v>0</v>
      </c>
      <c r="N75" s="590">
        <f t="shared" si="19"/>
        <v>0</v>
      </c>
      <c r="O75" s="590">
        <f t="shared" si="19"/>
        <v>0</v>
      </c>
      <c r="P75" s="574">
        <f t="shared" si="15"/>
        <v>0</v>
      </c>
      <c r="Q75" s="590">
        <f t="shared" si="11"/>
        <v>0</v>
      </c>
      <c r="R75" s="590">
        <f t="shared" si="19"/>
        <v>0</v>
      </c>
      <c r="S75" s="573">
        <f t="shared" si="19"/>
        <v>0</v>
      </c>
      <c r="T75" s="576">
        <f t="shared" si="16"/>
        <v>0</v>
      </c>
      <c r="U75" s="580">
        <f t="shared" si="17"/>
        <v>0</v>
      </c>
    </row>
    <row r="76" spans="1:21" ht="14.25">
      <c r="A76" s="282">
        <v>24</v>
      </c>
      <c r="B76" s="378" t="s">
        <v>33</v>
      </c>
      <c r="C76" s="380"/>
      <c r="D76" s="578">
        <f t="shared" si="7"/>
        <v>0</v>
      </c>
      <c r="E76" s="579">
        <f t="shared" si="19"/>
        <v>0</v>
      </c>
      <c r="F76" s="579">
        <f t="shared" si="19"/>
        <v>0</v>
      </c>
      <c r="G76" s="574">
        <f t="shared" si="12"/>
        <v>0</v>
      </c>
      <c r="H76" s="579">
        <f t="shared" si="9"/>
        <v>0</v>
      </c>
      <c r="I76" s="579">
        <f t="shared" si="19"/>
        <v>0</v>
      </c>
      <c r="J76" s="579">
        <f t="shared" si="19"/>
        <v>0</v>
      </c>
      <c r="K76" s="574">
        <f t="shared" si="13"/>
        <v>0</v>
      </c>
      <c r="L76" s="574">
        <f t="shared" si="18"/>
        <v>0</v>
      </c>
      <c r="M76" s="579">
        <f t="shared" si="10"/>
        <v>0</v>
      </c>
      <c r="N76" s="579">
        <f t="shared" si="19"/>
        <v>0</v>
      </c>
      <c r="O76" s="579">
        <f t="shared" si="19"/>
        <v>0</v>
      </c>
      <c r="P76" s="574">
        <f t="shared" si="15"/>
        <v>0</v>
      </c>
      <c r="Q76" s="579">
        <f t="shared" si="11"/>
        <v>0</v>
      </c>
      <c r="R76" s="579">
        <f t="shared" si="19"/>
        <v>0</v>
      </c>
      <c r="S76" s="573">
        <f t="shared" si="19"/>
        <v>0</v>
      </c>
      <c r="T76" s="576">
        <f>S76</f>
        <v>0</v>
      </c>
      <c r="U76" s="580">
        <f t="shared" si="17"/>
        <v>0</v>
      </c>
    </row>
    <row r="77" spans="1:21" ht="14.25">
      <c r="A77" s="282">
        <v>25</v>
      </c>
      <c r="B77" s="378" t="s">
        <v>35</v>
      </c>
      <c r="C77" s="380"/>
      <c r="D77" s="578">
        <f t="shared" si="7"/>
        <v>0</v>
      </c>
      <c r="E77" s="590">
        <f t="shared" si="19"/>
        <v>0</v>
      </c>
      <c r="F77" s="590">
        <f t="shared" si="19"/>
        <v>0</v>
      </c>
      <c r="G77" s="574">
        <f t="shared" si="12"/>
        <v>0</v>
      </c>
      <c r="H77" s="590">
        <f t="shared" si="9"/>
        <v>0</v>
      </c>
      <c r="I77" s="590">
        <f t="shared" si="19"/>
        <v>0</v>
      </c>
      <c r="J77" s="590">
        <f t="shared" si="19"/>
        <v>0</v>
      </c>
      <c r="K77" s="574">
        <f>J77</f>
        <v>0</v>
      </c>
      <c r="L77" s="574">
        <f>J77</f>
        <v>0</v>
      </c>
      <c r="M77" s="590">
        <f t="shared" si="10"/>
        <v>0</v>
      </c>
      <c r="N77" s="590">
        <f t="shared" si="19"/>
        <v>0</v>
      </c>
      <c r="O77" s="590">
        <f t="shared" si="19"/>
        <v>0</v>
      </c>
      <c r="P77" s="574">
        <f t="shared" si="15"/>
        <v>0</v>
      </c>
      <c r="Q77" s="590">
        <f t="shared" si="11"/>
        <v>0</v>
      </c>
      <c r="R77" s="590">
        <f t="shared" si="19"/>
        <v>0</v>
      </c>
      <c r="S77" s="573">
        <f t="shared" si="19"/>
        <v>0</v>
      </c>
      <c r="T77" s="576">
        <f t="shared" si="16"/>
        <v>0</v>
      </c>
      <c r="U77" s="580">
        <f t="shared" si="17"/>
        <v>0</v>
      </c>
    </row>
    <row r="78" spans="1:21" ht="14.25">
      <c r="A78" s="282">
        <v>26</v>
      </c>
      <c r="B78" s="378" t="s">
        <v>451</v>
      </c>
      <c r="C78" s="380"/>
      <c r="D78" s="578">
        <f t="shared" si="7"/>
        <v>0</v>
      </c>
      <c r="E78" s="579">
        <f t="shared" si="19"/>
        <v>0</v>
      </c>
      <c r="F78" s="579">
        <f t="shared" si="19"/>
        <v>0</v>
      </c>
      <c r="G78" s="574">
        <f>F78</f>
        <v>0</v>
      </c>
      <c r="H78" s="579">
        <f t="shared" si="9"/>
        <v>0</v>
      </c>
      <c r="I78" s="579">
        <f t="shared" si="19"/>
        <v>0</v>
      </c>
      <c r="J78" s="579">
        <f t="shared" si="19"/>
        <v>0</v>
      </c>
      <c r="K78" s="574">
        <f t="shared" si="13"/>
        <v>0</v>
      </c>
      <c r="L78" s="574">
        <f aca="true" t="shared" si="20" ref="L78:L89">J78</f>
        <v>0</v>
      </c>
      <c r="M78" s="579">
        <f t="shared" si="10"/>
        <v>0</v>
      </c>
      <c r="N78" s="579">
        <f t="shared" si="19"/>
        <v>0</v>
      </c>
      <c r="O78" s="579">
        <f t="shared" si="19"/>
        <v>0</v>
      </c>
      <c r="P78" s="574">
        <f t="shared" si="15"/>
        <v>0</v>
      </c>
      <c r="Q78" s="579">
        <f t="shared" si="11"/>
        <v>0</v>
      </c>
      <c r="R78" s="579">
        <f t="shared" si="19"/>
        <v>0</v>
      </c>
      <c r="S78" s="573">
        <f t="shared" si="19"/>
        <v>0</v>
      </c>
      <c r="T78" s="576">
        <f t="shared" si="16"/>
        <v>0</v>
      </c>
      <c r="U78" s="580">
        <f t="shared" si="17"/>
        <v>0</v>
      </c>
    </row>
    <row r="79" spans="1:21" ht="14.25">
      <c r="A79" s="282">
        <v>27</v>
      </c>
      <c r="B79" s="378" t="s">
        <v>700</v>
      </c>
      <c r="C79" s="380"/>
      <c r="D79" s="578">
        <f t="shared" si="7"/>
        <v>0</v>
      </c>
      <c r="E79" s="579">
        <f t="shared" si="19"/>
        <v>0</v>
      </c>
      <c r="F79" s="579">
        <f t="shared" si="19"/>
        <v>0</v>
      </c>
      <c r="G79" s="574">
        <f t="shared" si="12"/>
        <v>0</v>
      </c>
      <c r="H79" s="579">
        <f t="shared" si="9"/>
        <v>0</v>
      </c>
      <c r="I79" s="579">
        <f t="shared" si="19"/>
        <v>0</v>
      </c>
      <c r="J79" s="579">
        <f t="shared" si="19"/>
        <v>0</v>
      </c>
      <c r="K79" s="574">
        <f t="shared" si="13"/>
        <v>0</v>
      </c>
      <c r="L79" s="574">
        <f t="shared" si="20"/>
        <v>0</v>
      </c>
      <c r="M79" s="579">
        <f t="shared" si="10"/>
        <v>0</v>
      </c>
      <c r="N79" s="579">
        <f t="shared" si="19"/>
        <v>0</v>
      </c>
      <c r="O79" s="579">
        <f t="shared" si="19"/>
        <v>0</v>
      </c>
      <c r="P79" s="574">
        <f t="shared" si="15"/>
        <v>0</v>
      </c>
      <c r="Q79" s="579">
        <f t="shared" si="11"/>
        <v>0</v>
      </c>
      <c r="R79" s="579">
        <f t="shared" si="19"/>
        <v>0</v>
      </c>
      <c r="S79" s="573">
        <f t="shared" si="19"/>
        <v>0</v>
      </c>
      <c r="T79" s="576">
        <f t="shared" si="16"/>
        <v>0</v>
      </c>
      <c r="U79" s="580">
        <f t="shared" si="17"/>
        <v>0</v>
      </c>
    </row>
    <row r="80" spans="1:21" ht="14.25">
      <c r="A80" s="282">
        <v>28</v>
      </c>
      <c r="B80" s="378" t="s">
        <v>49</v>
      </c>
      <c r="C80" s="380"/>
      <c r="D80" s="578">
        <f t="shared" si="7"/>
        <v>0</v>
      </c>
      <c r="E80" s="579">
        <f t="shared" si="19"/>
        <v>0</v>
      </c>
      <c r="F80" s="579">
        <f t="shared" si="19"/>
        <v>0</v>
      </c>
      <c r="G80" s="574">
        <f t="shared" si="12"/>
        <v>0</v>
      </c>
      <c r="H80" s="579">
        <f t="shared" si="9"/>
        <v>0</v>
      </c>
      <c r="I80" s="579">
        <f t="shared" si="19"/>
        <v>0</v>
      </c>
      <c r="J80" s="579">
        <f t="shared" si="19"/>
        <v>0</v>
      </c>
      <c r="K80" s="574">
        <f t="shared" si="13"/>
        <v>0</v>
      </c>
      <c r="L80" s="574">
        <f t="shared" si="20"/>
        <v>0</v>
      </c>
      <c r="M80" s="579">
        <f t="shared" si="10"/>
        <v>0</v>
      </c>
      <c r="N80" s="579">
        <f t="shared" si="19"/>
        <v>0</v>
      </c>
      <c r="O80" s="579">
        <f t="shared" si="19"/>
        <v>0</v>
      </c>
      <c r="P80" s="574">
        <f t="shared" si="15"/>
        <v>0</v>
      </c>
      <c r="Q80" s="579">
        <f t="shared" si="11"/>
        <v>0</v>
      </c>
      <c r="R80" s="579">
        <f t="shared" si="19"/>
        <v>0</v>
      </c>
      <c r="S80" s="573">
        <f t="shared" si="19"/>
        <v>0</v>
      </c>
      <c r="T80" s="576">
        <f t="shared" si="16"/>
        <v>0</v>
      </c>
      <c r="U80" s="580">
        <f t="shared" si="17"/>
        <v>0</v>
      </c>
    </row>
    <row r="81" spans="1:21" ht="14.25">
      <c r="A81" s="282">
        <v>29</v>
      </c>
      <c r="B81" s="378" t="s">
        <v>26</v>
      </c>
      <c r="C81" s="380"/>
      <c r="D81" s="578">
        <f t="shared" si="7"/>
        <v>0</v>
      </c>
      <c r="E81" s="579">
        <f t="shared" si="19"/>
        <v>0</v>
      </c>
      <c r="F81" s="579">
        <f t="shared" si="19"/>
        <v>0</v>
      </c>
      <c r="G81" s="574">
        <f t="shared" si="12"/>
        <v>0</v>
      </c>
      <c r="H81" s="579">
        <f t="shared" si="9"/>
        <v>0</v>
      </c>
      <c r="I81" s="579">
        <f t="shared" si="19"/>
        <v>0</v>
      </c>
      <c r="J81" s="579">
        <f t="shared" si="19"/>
        <v>0</v>
      </c>
      <c r="K81" s="574">
        <f t="shared" si="13"/>
        <v>0</v>
      </c>
      <c r="L81" s="574">
        <f t="shared" si="20"/>
        <v>0</v>
      </c>
      <c r="M81" s="579">
        <f t="shared" si="10"/>
        <v>0</v>
      </c>
      <c r="N81" s="579">
        <f t="shared" si="19"/>
        <v>0</v>
      </c>
      <c r="O81" s="579">
        <f t="shared" si="19"/>
        <v>0</v>
      </c>
      <c r="P81" s="574">
        <f t="shared" si="15"/>
        <v>0</v>
      </c>
      <c r="Q81" s="579">
        <f t="shared" si="11"/>
        <v>0</v>
      </c>
      <c r="R81" s="579">
        <f t="shared" si="19"/>
        <v>0</v>
      </c>
      <c r="S81" s="573">
        <f t="shared" si="19"/>
        <v>0</v>
      </c>
      <c r="T81" s="576">
        <f t="shared" si="16"/>
        <v>0</v>
      </c>
      <c r="U81" s="580">
        <f t="shared" si="17"/>
        <v>0</v>
      </c>
    </row>
    <row r="82" spans="1:21" ht="14.25">
      <c r="A82" s="282">
        <v>30</v>
      </c>
      <c r="B82" s="378" t="s">
        <v>1019</v>
      </c>
      <c r="C82" s="380"/>
      <c r="D82" s="629">
        <f t="shared" si="7"/>
        <v>0</v>
      </c>
      <c r="E82" s="590">
        <f t="shared" si="19"/>
        <v>0</v>
      </c>
      <c r="F82" s="590">
        <f t="shared" si="19"/>
        <v>0</v>
      </c>
      <c r="G82" s="625">
        <f t="shared" si="12"/>
        <v>0</v>
      </c>
      <c r="H82" s="590">
        <f t="shared" si="9"/>
        <v>0</v>
      </c>
      <c r="I82" s="590">
        <f t="shared" si="19"/>
        <v>0</v>
      </c>
      <c r="J82" s="590">
        <f t="shared" si="19"/>
        <v>0</v>
      </c>
      <c r="K82" s="625">
        <f t="shared" si="13"/>
        <v>0</v>
      </c>
      <c r="L82" s="625">
        <f t="shared" si="20"/>
        <v>0</v>
      </c>
      <c r="M82" s="590">
        <f t="shared" si="10"/>
        <v>0</v>
      </c>
      <c r="N82" s="590">
        <f t="shared" si="19"/>
        <v>0</v>
      </c>
      <c r="O82" s="590">
        <f t="shared" si="19"/>
        <v>0</v>
      </c>
      <c r="P82" s="625">
        <f t="shared" si="15"/>
        <v>0</v>
      </c>
      <c r="Q82" s="590">
        <f t="shared" si="11"/>
        <v>0</v>
      </c>
      <c r="R82" s="590">
        <f t="shared" si="19"/>
        <v>0</v>
      </c>
      <c r="S82" s="626">
        <f t="shared" si="19"/>
        <v>0</v>
      </c>
      <c r="T82" s="627">
        <f t="shared" si="16"/>
        <v>0</v>
      </c>
      <c r="U82" s="628">
        <f t="shared" si="17"/>
        <v>0</v>
      </c>
    </row>
    <row r="83" spans="1:21" ht="14.25">
      <c r="A83" s="282">
        <v>31</v>
      </c>
      <c r="B83" s="378">
        <f>B40</f>
        <v>0</v>
      </c>
      <c r="C83" s="380"/>
      <c r="D83" s="578">
        <f t="shared" si="7"/>
        <v>0</v>
      </c>
      <c r="E83" s="590">
        <f t="shared" si="19"/>
        <v>0</v>
      </c>
      <c r="F83" s="590">
        <f t="shared" si="19"/>
        <v>0</v>
      </c>
      <c r="G83" s="574">
        <f t="shared" si="12"/>
        <v>0</v>
      </c>
      <c r="H83" s="590">
        <f t="shared" si="9"/>
        <v>0</v>
      </c>
      <c r="I83" s="590">
        <f t="shared" si="19"/>
        <v>0</v>
      </c>
      <c r="J83" s="590">
        <f t="shared" si="19"/>
        <v>0</v>
      </c>
      <c r="K83" s="574">
        <f t="shared" si="13"/>
        <v>0</v>
      </c>
      <c r="L83" s="574">
        <f t="shared" si="20"/>
        <v>0</v>
      </c>
      <c r="M83" s="590">
        <f t="shared" si="10"/>
        <v>0</v>
      </c>
      <c r="N83" s="590">
        <f t="shared" si="19"/>
        <v>0</v>
      </c>
      <c r="O83" s="590">
        <f t="shared" si="19"/>
        <v>0</v>
      </c>
      <c r="P83" s="574">
        <f>O83</f>
        <v>0</v>
      </c>
      <c r="Q83" s="590">
        <f t="shared" si="11"/>
        <v>0</v>
      </c>
      <c r="R83" s="590">
        <f t="shared" si="19"/>
        <v>0</v>
      </c>
      <c r="S83" s="573">
        <f t="shared" si="19"/>
        <v>0</v>
      </c>
      <c r="T83" s="576">
        <f t="shared" si="16"/>
        <v>0</v>
      </c>
      <c r="U83" s="580">
        <f>S83</f>
        <v>0</v>
      </c>
    </row>
    <row r="84" spans="1:21" ht="14.25" hidden="1">
      <c r="A84" s="282">
        <v>32</v>
      </c>
      <c r="B84" s="378">
        <f>B41</f>
        <v>0</v>
      </c>
      <c r="C84" s="380"/>
      <c r="D84" s="578">
        <f t="shared" si="7"/>
        <v>0</v>
      </c>
      <c r="E84" s="579">
        <f t="shared" si="19"/>
        <v>0</v>
      </c>
      <c r="F84" s="579">
        <f t="shared" si="19"/>
        <v>0</v>
      </c>
      <c r="G84" s="574">
        <f t="shared" si="12"/>
        <v>0</v>
      </c>
      <c r="H84" s="579">
        <f t="shared" si="9"/>
        <v>0</v>
      </c>
      <c r="I84" s="579">
        <f t="shared" si="19"/>
        <v>0</v>
      </c>
      <c r="J84" s="579">
        <f t="shared" si="19"/>
        <v>0</v>
      </c>
      <c r="K84" s="574">
        <f t="shared" si="13"/>
        <v>0</v>
      </c>
      <c r="L84" s="574">
        <f t="shared" si="20"/>
        <v>0</v>
      </c>
      <c r="M84" s="579">
        <f t="shared" si="10"/>
        <v>0</v>
      </c>
      <c r="N84" s="579">
        <f t="shared" si="19"/>
        <v>0</v>
      </c>
      <c r="O84" s="579">
        <f t="shared" si="19"/>
        <v>0</v>
      </c>
      <c r="P84" s="574">
        <f t="shared" si="15"/>
        <v>0</v>
      </c>
      <c r="Q84" s="579">
        <f t="shared" si="11"/>
        <v>0</v>
      </c>
      <c r="R84" s="579">
        <f t="shared" si="19"/>
        <v>0</v>
      </c>
      <c r="S84" s="573">
        <f>R84+S41</f>
        <v>0</v>
      </c>
      <c r="T84" s="576">
        <f t="shared" si="16"/>
        <v>0</v>
      </c>
      <c r="U84" s="580">
        <f t="shared" si="17"/>
        <v>0</v>
      </c>
    </row>
    <row r="85" spans="1:21" ht="14.25" hidden="1">
      <c r="A85" s="282">
        <v>33</v>
      </c>
      <c r="B85" s="378">
        <f>B42</f>
        <v>0</v>
      </c>
      <c r="C85" s="380"/>
      <c r="D85" s="578">
        <f t="shared" si="7"/>
        <v>0</v>
      </c>
      <c r="E85" s="579">
        <f aca="true" t="shared" si="21" ref="E85:S89">D85+E42</f>
        <v>0</v>
      </c>
      <c r="F85" s="579">
        <f t="shared" si="21"/>
        <v>0</v>
      </c>
      <c r="G85" s="574">
        <f t="shared" si="12"/>
        <v>0</v>
      </c>
      <c r="H85" s="579">
        <f t="shared" si="9"/>
        <v>0</v>
      </c>
      <c r="I85" s="579">
        <f t="shared" si="21"/>
        <v>0</v>
      </c>
      <c r="J85" s="579">
        <f t="shared" si="21"/>
        <v>0</v>
      </c>
      <c r="K85" s="574">
        <f t="shared" si="13"/>
        <v>0</v>
      </c>
      <c r="L85" s="574">
        <f t="shared" si="20"/>
        <v>0</v>
      </c>
      <c r="M85" s="579">
        <f t="shared" si="10"/>
        <v>0</v>
      </c>
      <c r="N85" s="579">
        <f t="shared" si="21"/>
        <v>0</v>
      </c>
      <c r="O85" s="579">
        <f t="shared" si="21"/>
        <v>0</v>
      </c>
      <c r="P85" s="574">
        <f t="shared" si="15"/>
        <v>0</v>
      </c>
      <c r="Q85" s="579">
        <f t="shared" si="11"/>
        <v>0</v>
      </c>
      <c r="R85" s="579">
        <f t="shared" si="21"/>
        <v>0</v>
      </c>
      <c r="S85" s="573">
        <f t="shared" si="21"/>
        <v>0</v>
      </c>
      <c r="T85" s="576">
        <f t="shared" si="16"/>
        <v>0</v>
      </c>
      <c r="U85" s="580">
        <f t="shared" si="17"/>
        <v>0</v>
      </c>
    </row>
    <row r="86" spans="1:21" ht="14.25" hidden="1">
      <c r="A86" s="282">
        <v>34</v>
      </c>
      <c r="B86" s="378">
        <f>B43</f>
        <v>0</v>
      </c>
      <c r="C86" s="380"/>
      <c r="D86" s="578">
        <f t="shared" si="7"/>
        <v>0</v>
      </c>
      <c r="E86" s="579">
        <f t="shared" si="21"/>
        <v>0</v>
      </c>
      <c r="F86" s="579">
        <f t="shared" si="21"/>
        <v>0</v>
      </c>
      <c r="G86" s="574">
        <f t="shared" si="12"/>
        <v>0</v>
      </c>
      <c r="H86" s="579">
        <f t="shared" si="9"/>
        <v>0</v>
      </c>
      <c r="I86" s="579">
        <f t="shared" si="21"/>
        <v>0</v>
      </c>
      <c r="J86" s="579">
        <f t="shared" si="21"/>
        <v>0</v>
      </c>
      <c r="K86" s="574">
        <f t="shared" si="13"/>
        <v>0</v>
      </c>
      <c r="L86" s="574">
        <f t="shared" si="20"/>
        <v>0</v>
      </c>
      <c r="M86" s="579">
        <f t="shared" si="10"/>
        <v>0</v>
      </c>
      <c r="N86" s="579">
        <f t="shared" si="21"/>
        <v>0</v>
      </c>
      <c r="O86" s="579">
        <f t="shared" si="21"/>
        <v>0</v>
      </c>
      <c r="P86" s="574">
        <f t="shared" si="15"/>
        <v>0</v>
      </c>
      <c r="Q86" s="579">
        <f t="shared" si="11"/>
        <v>0</v>
      </c>
      <c r="R86" s="579">
        <f t="shared" si="21"/>
        <v>0</v>
      </c>
      <c r="S86" s="573">
        <f t="shared" si="21"/>
        <v>0</v>
      </c>
      <c r="T86" s="576">
        <f t="shared" si="16"/>
        <v>0</v>
      </c>
      <c r="U86" s="580">
        <f t="shared" si="17"/>
        <v>0</v>
      </c>
    </row>
    <row r="87" spans="1:21" ht="14.25" hidden="1">
      <c r="A87" s="282">
        <v>35</v>
      </c>
      <c r="B87" s="378">
        <f>B44</f>
        <v>0</v>
      </c>
      <c r="C87" s="380"/>
      <c r="D87" s="578">
        <f t="shared" si="7"/>
        <v>0</v>
      </c>
      <c r="E87" s="579">
        <f t="shared" si="21"/>
        <v>0</v>
      </c>
      <c r="F87" s="579">
        <f t="shared" si="21"/>
        <v>0</v>
      </c>
      <c r="G87" s="574">
        <f t="shared" si="12"/>
        <v>0</v>
      </c>
      <c r="H87" s="579">
        <f t="shared" si="9"/>
        <v>0</v>
      </c>
      <c r="I87" s="579">
        <f t="shared" si="21"/>
        <v>0</v>
      </c>
      <c r="J87" s="579">
        <f t="shared" si="21"/>
        <v>0</v>
      </c>
      <c r="K87" s="574">
        <f t="shared" si="13"/>
        <v>0</v>
      </c>
      <c r="L87" s="574">
        <f t="shared" si="20"/>
        <v>0</v>
      </c>
      <c r="M87" s="579">
        <f t="shared" si="10"/>
        <v>0</v>
      </c>
      <c r="N87" s="579">
        <f t="shared" si="21"/>
        <v>0</v>
      </c>
      <c r="O87" s="579">
        <f t="shared" si="21"/>
        <v>0</v>
      </c>
      <c r="P87" s="574">
        <f t="shared" si="15"/>
        <v>0</v>
      </c>
      <c r="Q87" s="579">
        <f t="shared" si="11"/>
        <v>0</v>
      </c>
      <c r="R87" s="579">
        <f t="shared" si="21"/>
        <v>0</v>
      </c>
      <c r="S87" s="573">
        <f t="shared" si="21"/>
        <v>0</v>
      </c>
      <c r="T87" s="576">
        <f t="shared" si="16"/>
        <v>0</v>
      </c>
      <c r="U87" s="580">
        <f t="shared" si="17"/>
        <v>0</v>
      </c>
    </row>
    <row r="88" spans="1:21" ht="14.25" hidden="1">
      <c r="A88" s="282">
        <v>36</v>
      </c>
      <c r="B88" s="405"/>
      <c r="C88" s="71"/>
      <c r="D88" s="578">
        <f t="shared" si="7"/>
        <v>0</v>
      </c>
      <c r="E88" s="579">
        <f t="shared" si="21"/>
        <v>0</v>
      </c>
      <c r="F88" s="579">
        <f t="shared" si="21"/>
        <v>0</v>
      </c>
      <c r="G88" s="574">
        <f t="shared" si="12"/>
        <v>0</v>
      </c>
      <c r="H88" s="579">
        <f t="shared" si="9"/>
        <v>0</v>
      </c>
      <c r="I88" s="579">
        <f t="shared" si="21"/>
        <v>0</v>
      </c>
      <c r="J88" s="579">
        <f t="shared" si="21"/>
        <v>0</v>
      </c>
      <c r="K88" s="574">
        <f t="shared" si="13"/>
        <v>0</v>
      </c>
      <c r="L88" s="574">
        <f t="shared" si="20"/>
        <v>0</v>
      </c>
      <c r="M88" s="579">
        <f t="shared" si="10"/>
        <v>0</v>
      </c>
      <c r="N88" s="579">
        <f t="shared" si="21"/>
        <v>0</v>
      </c>
      <c r="O88" s="579">
        <f t="shared" si="21"/>
        <v>0</v>
      </c>
      <c r="P88" s="574">
        <f t="shared" si="15"/>
        <v>0</v>
      </c>
      <c r="Q88" s="579">
        <f t="shared" si="11"/>
        <v>0</v>
      </c>
      <c r="R88" s="579">
        <f t="shared" si="21"/>
        <v>0</v>
      </c>
      <c r="S88" s="573">
        <f t="shared" si="21"/>
        <v>0</v>
      </c>
      <c r="T88" s="576">
        <f t="shared" si="16"/>
        <v>0</v>
      </c>
      <c r="U88" s="580">
        <f t="shared" si="17"/>
        <v>0</v>
      </c>
    </row>
    <row r="89" spans="1:21" ht="14.25" hidden="1">
      <c r="A89" s="282">
        <v>37</v>
      </c>
      <c r="B89" s="405"/>
      <c r="C89" s="71"/>
      <c r="D89" s="578">
        <f t="shared" si="7"/>
        <v>0</v>
      </c>
      <c r="E89" s="579">
        <f t="shared" si="21"/>
        <v>0</v>
      </c>
      <c r="F89" s="579">
        <f t="shared" si="21"/>
        <v>0</v>
      </c>
      <c r="G89" s="574">
        <f t="shared" si="12"/>
        <v>0</v>
      </c>
      <c r="H89" s="579">
        <f t="shared" si="9"/>
        <v>0</v>
      </c>
      <c r="I89" s="579">
        <f t="shared" si="21"/>
        <v>0</v>
      </c>
      <c r="J89" s="579">
        <f t="shared" si="21"/>
        <v>0</v>
      </c>
      <c r="K89" s="574">
        <f t="shared" si="13"/>
        <v>0</v>
      </c>
      <c r="L89" s="574">
        <f t="shared" si="20"/>
        <v>0</v>
      </c>
      <c r="M89" s="579">
        <f t="shared" si="10"/>
        <v>0</v>
      </c>
      <c r="N89" s="579">
        <f t="shared" si="21"/>
        <v>0</v>
      </c>
      <c r="O89" s="579">
        <f t="shared" si="21"/>
        <v>0</v>
      </c>
      <c r="P89" s="574">
        <f t="shared" si="15"/>
        <v>0</v>
      </c>
      <c r="Q89" s="579">
        <f t="shared" si="11"/>
        <v>0</v>
      </c>
      <c r="R89" s="579">
        <f t="shared" si="21"/>
        <v>0</v>
      </c>
      <c r="S89" s="573">
        <f t="shared" si="21"/>
        <v>0</v>
      </c>
      <c r="T89" s="576">
        <f t="shared" si="16"/>
        <v>0</v>
      </c>
      <c r="U89" s="580">
        <f t="shared" si="17"/>
        <v>0</v>
      </c>
    </row>
    <row r="90" spans="1:21" ht="15" thickBot="1">
      <c r="A90" s="284">
        <v>38</v>
      </c>
      <c r="B90" s="387" t="s">
        <v>1038</v>
      </c>
      <c r="C90" s="388"/>
      <c r="D90" s="592">
        <f>SUM(D53:D89)</f>
        <v>7000</v>
      </c>
      <c r="E90" s="593">
        <f>SUM(E53:E89)</f>
        <v>7000</v>
      </c>
      <c r="F90" s="593">
        <f aca="true" t="shared" si="22" ref="F90:T90">SUM(F53:F89)</f>
        <v>7000</v>
      </c>
      <c r="G90" s="594">
        <f t="shared" si="22"/>
        <v>7000</v>
      </c>
      <c r="H90" s="593">
        <f t="shared" si="22"/>
        <v>7000</v>
      </c>
      <c r="I90" s="593">
        <f t="shared" si="22"/>
        <v>7000</v>
      </c>
      <c r="J90" s="593">
        <f t="shared" si="22"/>
        <v>7000</v>
      </c>
      <c r="K90" s="594">
        <f>SUM(K53:K89)</f>
        <v>7000</v>
      </c>
      <c r="L90" s="594">
        <f>SUM(L53:L89)</f>
        <v>7000</v>
      </c>
      <c r="M90" s="593">
        <f t="shared" si="22"/>
        <v>7000</v>
      </c>
      <c r="N90" s="593">
        <f t="shared" si="22"/>
        <v>7000</v>
      </c>
      <c r="O90" s="593">
        <f t="shared" si="22"/>
        <v>7000</v>
      </c>
      <c r="P90" s="594">
        <f t="shared" si="22"/>
        <v>7000</v>
      </c>
      <c r="Q90" s="593">
        <f t="shared" si="22"/>
        <v>7000</v>
      </c>
      <c r="R90" s="593">
        <f t="shared" si="22"/>
        <v>7000</v>
      </c>
      <c r="S90" s="593">
        <f t="shared" si="22"/>
        <v>7000</v>
      </c>
      <c r="T90" s="594">
        <f t="shared" si="22"/>
        <v>7000</v>
      </c>
      <c r="U90" s="595">
        <f>SUM(U53:U89)</f>
        <v>7000</v>
      </c>
    </row>
    <row r="91" spans="1:21" ht="16.5" thickBot="1" thickTop="1">
      <c r="A91" s="797" t="s">
        <v>435</v>
      </c>
      <c r="B91" s="798"/>
      <c r="C91" s="799"/>
      <c r="D91" s="596"/>
      <c r="E91" s="596"/>
      <c r="F91" s="596"/>
      <c r="G91" s="596"/>
      <c r="H91" s="596"/>
      <c r="I91" s="596"/>
      <c r="J91" s="596"/>
      <c r="K91" s="596"/>
      <c r="L91" s="596"/>
      <c r="M91" s="596"/>
      <c r="N91" s="596"/>
      <c r="O91" s="596"/>
      <c r="P91" s="596"/>
      <c r="Q91" s="596"/>
      <c r="R91" s="596"/>
      <c r="S91" s="596"/>
      <c r="T91" s="596"/>
      <c r="U91" s="596"/>
    </row>
    <row r="92" spans="1:21" ht="15" thickTop="1">
      <c r="A92" s="973" t="s">
        <v>36</v>
      </c>
      <c r="B92" s="975" t="s">
        <v>1031</v>
      </c>
      <c r="C92" s="254"/>
      <c r="D92" s="597" t="s">
        <v>777</v>
      </c>
      <c r="E92" s="598" t="s">
        <v>1032</v>
      </c>
      <c r="F92" s="599" t="s">
        <v>778</v>
      </c>
      <c r="G92" s="600" t="s">
        <v>338</v>
      </c>
      <c r="H92" s="598" t="s">
        <v>779</v>
      </c>
      <c r="I92" s="598" t="s">
        <v>780</v>
      </c>
      <c r="J92" s="598" t="s">
        <v>1033</v>
      </c>
      <c r="K92" s="600" t="s">
        <v>339</v>
      </c>
      <c r="L92" s="600" t="s">
        <v>340</v>
      </c>
      <c r="M92" s="598" t="s">
        <v>1034</v>
      </c>
      <c r="N92" s="598" t="s">
        <v>1035</v>
      </c>
      <c r="O92" s="598" t="s">
        <v>781</v>
      </c>
      <c r="P92" s="601" t="s">
        <v>431</v>
      </c>
      <c r="Q92" s="598" t="s">
        <v>1036</v>
      </c>
      <c r="R92" s="598" t="s">
        <v>782</v>
      </c>
      <c r="S92" s="602" t="s">
        <v>783</v>
      </c>
      <c r="T92" s="601" t="s">
        <v>341</v>
      </c>
      <c r="U92" s="603" t="s">
        <v>342</v>
      </c>
    </row>
    <row r="93" spans="1:21" ht="15.75" thickBot="1">
      <c r="A93" s="974"/>
      <c r="B93" s="976"/>
      <c r="C93" s="258"/>
      <c r="D93" s="604" t="s">
        <v>763</v>
      </c>
      <c r="E93" s="605" t="s">
        <v>764</v>
      </c>
      <c r="F93" s="606" t="s">
        <v>765</v>
      </c>
      <c r="G93" s="607" t="s">
        <v>1037</v>
      </c>
      <c r="H93" s="605" t="s">
        <v>766</v>
      </c>
      <c r="I93" s="605" t="s">
        <v>767</v>
      </c>
      <c r="J93" s="605" t="s">
        <v>768</v>
      </c>
      <c r="K93" s="607" t="s">
        <v>810</v>
      </c>
      <c r="L93" s="607" t="s">
        <v>17</v>
      </c>
      <c r="M93" s="605" t="s">
        <v>769</v>
      </c>
      <c r="N93" s="605" t="s">
        <v>770</v>
      </c>
      <c r="O93" s="605" t="s">
        <v>771</v>
      </c>
      <c r="P93" s="608" t="s">
        <v>18</v>
      </c>
      <c r="Q93" s="605" t="s">
        <v>772</v>
      </c>
      <c r="R93" s="605" t="s">
        <v>773</v>
      </c>
      <c r="S93" s="609" t="s">
        <v>774</v>
      </c>
      <c r="T93" s="608" t="s">
        <v>19</v>
      </c>
      <c r="U93" s="610" t="s">
        <v>20</v>
      </c>
    </row>
    <row r="94" spans="1:21" ht="15.75">
      <c r="A94" s="981" t="s">
        <v>41</v>
      </c>
      <c r="B94" s="976" t="s">
        <v>1027</v>
      </c>
      <c r="C94" s="258"/>
      <c r="D94" s="611" t="s">
        <v>434</v>
      </c>
      <c r="E94" s="612" t="s">
        <v>335</v>
      </c>
      <c r="F94" s="612" t="s">
        <v>335</v>
      </c>
      <c r="G94" s="613" t="s">
        <v>985</v>
      </c>
      <c r="H94" s="612" t="s">
        <v>336</v>
      </c>
      <c r="I94" s="612" t="s">
        <v>335</v>
      </c>
      <c r="J94" s="612" t="s">
        <v>335</v>
      </c>
      <c r="K94" s="614" t="s">
        <v>985</v>
      </c>
      <c r="L94" s="613" t="s">
        <v>985</v>
      </c>
      <c r="M94" s="612" t="s">
        <v>336</v>
      </c>
      <c r="N94" s="612" t="s">
        <v>335</v>
      </c>
      <c r="O94" s="612" t="s">
        <v>335</v>
      </c>
      <c r="P94" s="614" t="s">
        <v>985</v>
      </c>
      <c r="Q94" s="615" t="s">
        <v>336</v>
      </c>
      <c r="R94" s="612" t="s">
        <v>335</v>
      </c>
      <c r="S94" s="612" t="s">
        <v>335</v>
      </c>
      <c r="T94" s="613" t="s">
        <v>985</v>
      </c>
      <c r="U94" s="616" t="s">
        <v>985</v>
      </c>
    </row>
    <row r="95" spans="1:21" ht="15" customHeight="1" thickBot="1">
      <c r="A95" s="982"/>
      <c r="B95" s="977"/>
      <c r="C95" s="266"/>
      <c r="D95" s="617" t="s">
        <v>986</v>
      </c>
      <c r="E95" s="618" t="s">
        <v>986</v>
      </c>
      <c r="F95" s="618" t="s">
        <v>986</v>
      </c>
      <c r="G95" s="619" t="s">
        <v>986</v>
      </c>
      <c r="H95" s="618" t="s">
        <v>986</v>
      </c>
      <c r="I95" s="618" t="s">
        <v>986</v>
      </c>
      <c r="J95" s="618" t="s">
        <v>986</v>
      </c>
      <c r="K95" s="619" t="s">
        <v>986</v>
      </c>
      <c r="L95" s="619" t="s">
        <v>986</v>
      </c>
      <c r="M95" s="618" t="s">
        <v>986</v>
      </c>
      <c r="N95" s="618" t="s">
        <v>986</v>
      </c>
      <c r="O95" s="618" t="s">
        <v>986</v>
      </c>
      <c r="P95" s="619" t="s">
        <v>986</v>
      </c>
      <c r="Q95" s="618" t="s">
        <v>986</v>
      </c>
      <c r="R95" s="618" t="s">
        <v>986</v>
      </c>
      <c r="S95" s="620" t="s">
        <v>986</v>
      </c>
      <c r="T95" s="621" t="s">
        <v>986</v>
      </c>
      <c r="U95" s="622" t="s">
        <v>986</v>
      </c>
    </row>
    <row r="96" spans="1:21" ht="15" thickTop="1">
      <c r="A96" s="404">
        <v>1</v>
      </c>
      <c r="B96" s="378" t="s">
        <v>713</v>
      </c>
      <c r="C96" s="379"/>
      <c r="D96" s="572"/>
      <c r="E96" s="573"/>
      <c r="F96" s="573"/>
      <c r="G96" s="574">
        <f>F96</f>
        <v>0</v>
      </c>
      <c r="H96" s="573"/>
      <c r="I96" s="573"/>
      <c r="J96" s="573"/>
      <c r="K96" s="574">
        <f>J96</f>
        <v>0</v>
      </c>
      <c r="L96" s="574">
        <f>J96</f>
        <v>0</v>
      </c>
      <c r="M96" s="573"/>
      <c r="N96" s="573"/>
      <c r="O96" s="573"/>
      <c r="P96" s="574">
        <f>O96</f>
        <v>0</v>
      </c>
      <c r="Q96" s="573"/>
      <c r="R96" s="573"/>
      <c r="S96" s="575"/>
      <c r="T96" s="576">
        <f>S96</f>
        <v>0</v>
      </c>
      <c r="U96" s="577">
        <f>S96</f>
        <v>0</v>
      </c>
    </row>
    <row r="97" spans="1:21" ht="14.25">
      <c r="A97" s="282">
        <v>2</v>
      </c>
      <c r="B97" s="378" t="s">
        <v>520</v>
      </c>
      <c r="C97" s="380"/>
      <c r="D97" s="578"/>
      <c r="E97" s="579"/>
      <c r="F97" s="579"/>
      <c r="G97" s="574">
        <f aca="true" t="shared" si="23" ref="G97:G132">F97</f>
        <v>0</v>
      </c>
      <c r="H97" s="579"/>
      <c r="I97" s="579"/>
      <c r="J97" s="579"/>
      <c r="K97" s="574">
        <f aca="true" t="shared" si="24" ref="K97:K132">J97</f>
        <v>0</v>
      </c>
      <c r="L97" s="574">
        <f aca="true" t="shared" si="25" ref="L97:L119">J97</f>
        <v>0</v>
      </c>
      <c r="M97" s="579"/>
      <c r="N97" s="579"/>
      <c r="O97" s="579"/>
      <c r="P97" s="574">
        <f aca="true" t="shared" si="26" ref="P97:P132">O97</f>
        <v>0</v>
      </c>
      <c r="Q97" s="579"/>
      <c r="R97" s="579"/>
      <c r="S97" s="573"/>
      <c r="T97" s="576">
        <f aca="true" t="shared" si="27" ref="T97:T132">S97</f>
        <v>0</v>
      </c>
      <c r="U97" s="580">
        <f aca="true" t="shared" si="28" ref="U97:U125">S97</f>
        <v>0</v>
      </c>
    </row>
    <row r="98" spans="1:21" ht="14.25">
      <c r="A98" s="282">
        <v>3</v>
      </c>
      <c r="B98" s="378" t="s">
        <v>31</v>
      </c>
      <c r="C98" s="380"/>
      <c r="D98" s="578"/>
      <c r="E98" s="579"/>
      <c r="F98" s="579"/>
      <c r="G98" s="574">
        <f t="shared" si="23"/>
        <v>0</v>
      </c>
      <c r="H98" s="579"/>
      <c r="I98" s="579"/>
      <c r="J98" s="579"/>
      <c r="K98" s="574">
        <f t="shared" si="24"/>
        <v>0</v>
      </c>
      <c r="L98" s="574">
        <f t="shared" si="25"/>
        <v>0</v>
      </c>
      <c r="M98" s="579"/>
      <c r="N98" s="579"/>
      <c r="O98" s="579"/>
      <c r="P98" s="574">
        <f t="shared" si="26"/>
        <v>0</v>
      </c>
      <c r="Q98" s="579"/>
      <c r="R98" s="579"/>
      <c r="S98" s="573"/>
      <c r="T98" s="576">
        <f t="shared" si="27"/>
        <v>0</v>
      </c>
      <c r="U98" s="580">
        <f t="shared" si="28"/>
        <v>0</v>
      </c>
    </row>
    <row r="99" spans="1:21" ht="14.25">
      <c r="A99" s="282">
        <v>4</v>
      </c>
      <c r="B99" s="378" t="s">
        <v>30</v>
      </c>
      <c r="C99" s="380"/>
      <c r="D99" s="578"/>
      <c r="E99" s="579"/>
      <c r="F99" s="579"/>
      <c r="G99" s="574">
        <f t="shared" si="23"/>
        <v>0</v>
      </c>
      <c r="H99" s="579"/>
      <c r="I99" s="579"/>
      <c r="J99" s="579"/>
      <c r="K99" s="574">
        <f t="shared" si="24"/>
        <v>0</v>
      </c>
      <c r="L99" s="574">
        <f t="shared" si="25"/>
        <v>0</v>
      </c>
      <c r="M99" s="579"/>
      <c r="N99" s="579"/>
      <c r="O99" s="579"/>
      <c r="P99" s="574">
        <f t="shared" si="26"/>
        <v>0</v>
      </c>
      <c r="Q99" s="579"/>
      <c r="R99" s="579"/>
      <c r="S99" s="573"/>
      <c r="T99" s="576">
        <f t="shared" si="27"/>
        <v>0</v>
      </c>
      <c r="U99" s="580">
        <f t="shared" si="28"/>
        <v>0</v>
      </c>
    </row>
    <row r="100" spans="1:21" ht="14.25">
      <c r="A100" s="282">
        <v>5</v>
      </c>
      <c r="B100" s="378" t="s">
        <v>25</v>
      </c>
      <c r="C100" s="380"/>
      <c r="D100" s="578"/>
      <c r="E100" s="579"/>
      <c r="F100" s="579"/>
      <c r="G100" s="574">
        <f t="shared" si="23"/>
        <v>0</v>
      </c>
      <c r="H100" s="579"/>
      <c r="I100" s="579"/>
      <c r="J100" s="579"/>
      <c r="K100" s="574">
        <f t="shared" si="24"/>
        <v>0</v>
      </c>
      <c r="L100" s="574">
        <f t="shared" si="25"/>
        <v>0</v>
      </c>
      <c r="M100" s="579"/>
      <c r="N100" s="579"/>
      <c r="O100" s="579"/>
      <c r="P100" s="574">
        <f t="shared" si="26"/>
        <v>0</v>
      </c>
      <c r="Q100" s="579"/>
      <c r="R100" s="579"/>
      <c r="S100" s="573"/>
      <c r="T100" s="576">
        <f t="shared" si="27"/>
        <v>0</v>
      </c>
      <c r="U100" s="580">
        <f t="shared" si="28"/>
        <v>0</v>
      </c>
    </row>
    <row r="101" spans="1:21" ht="14.25">
      <c r="A101" s="282">
        <v>6</v>
      </c>
      <c r="B101" s="378" t="s">
        <v>694</v>
      </c>
      <c r="C101" s="380"/>
      <c r="D101" s="578"/>
      <c r="E101" s="579"/>
      <c r="F101" s="579"/>
      <c r="G101" s="574">
        <f t="shared" si="23"/>
        <v>0</v>
      </c>
      <c r="H101" s="579"/>
      <c r="I101" s="579"/>
      <c r="J101" s="579"/>
      <c r="K101" s="574">
        <f t="shared" si="24"/>
        <v>0</v>
      </c>
      <c r="L101" s="574">
        <f t="shared" si="25"/>
        <v>0</v>
      </c>
      <c r="M101" s="579"/>
      <c r="N101" s="579"/>
      <c r="O101" s="579"/>
      <c r="P101" s="574">
        <f t="shared" si="26"/>
        <v>0</v>
      </c>
      <c r="Q101" s="579"/>
      <c r="R101" s="579"/>
      <c r="S101" s="573"/>
      <c r="T101" s="576">
        <f t="shared" si="27"/>
        <v>0</v>
      </c>
      <c r="U101" s="580">
        <f t="shared" si="28"/>
        <v>0</v>
      </c>
    </row>
    <row r="102" spans="1:21" ht="14.25">
      <c r="A102" s="282">
        <v>7</v>
      </c>
      <c r="B102" s="378" t="s">
        <v>1017</v>
      </c>
      <c r="C102" s="380"/>
      <c r="D102" s="578"/>
      <c r="E102" s="579"/>
      <c r="F102" s="579"/>
      <c r="G102" s="574">
        <f t="shared" si="23"/>
        <v>0</v>
      </c>
      <c r="H102" s="579"/>
      <c r="I102" s="579"/>
      <c r="J102" s="579"/>
      <c r="K102" s="574">
        <f t="shared" si="24"/>
        <v>0</v>
      </c>
      <c r="L102" s="574">
        <f t="shared" si="25"/>
        <v>0</v>
      </c>
      <c r="M102" s="579"/>
      <c r="N102" s="579"/>
      <c r="O102" s="579"/>
      <c r="P102" s="574">
        <f t="shared" si="26"/>
        <v>0</v>
      </c>
      <c r="Q102" s="579"/>
      <c r="R102" s="579"/>
      <c r="S102" s="573"/>
      <c r="T102" s="576">
        <f t="shared" si="27"/>
        <v>0</v>
      </c>
      <c r="U102" s="580">
        <f t="shared" si="28"/>
        <v>0</v>
      </c>
    </row>
    <row r="103" spans="1:21" ht="14.25">
      <c r="A103" s="282">
        <v>8</v>
      </c>
      <c r="B103" s="378" t="s">
        <v>1018</v>
      </c>
      <c r="C103" s="380"/>
      <c r="D103" s="578"/>
      <c r="E103" s="582"/>
      <c r="F103" s="582"/>
      <c r="G103" s="574">
        <f t="shared" si="23"/>
        <v>0</v>
      </c>
      <c r="H103" s="582"/>
      <c r="I103" s="582"/>
      <c r="J103" s="582"/>
      <c r="K103" s="574">
        <f t="shared" si="24"/>
        <v>0</v>
      </c>
      <c r="L103" s="574">
        <f t="shared" si="25"/>
        <v>0</v>
      </c>
      <c r="M103" s="582"/>
      <c r="N103" s="582"/>
      <c r="O103" s="582"/>
      <c r="P103" s="574">
        <f t="shared" si="26"/>
        <v>0</v>
      </c>
      <c r="Q103" s="582"/>
      <c r="R103" s="582"/>
      <c r="S103" s="573"/>
      <c r="T103" s="576">
        <f t="shared" si="27"/>
        <v>0</v>
      </c>
      <c r="U103" s="580">
        <f t="shared" si="28"/>
        <v>0</v>
      </c>
    </row>
    <row r="104" spans="1:21" ht="14.25">
      <c r="A104" s="282">
        <v>9</v>
      </c>
      <c r="B104" s="378" t="s">
        <v>384</v>
      </c>
      <c r="C104" s="380"/>
      <c r="D104" s="578"/>
      <c r="E104" s="583"/>
      <c r="F104" s="583"/>
      <c r="G104" s="574">
        <f t="shared" si="23"/>
        <v>0</v>
      </c>
      <c r="H104" s="583"/>
      <c r="I104" s="583"/>
      <c r="J104" s="583"/>
      <c r="K104" s="574">
        <f t="shared" si="24"/>
        <v>0</v>
      </c>
      <c r="L104" s="574">
        <f t="shared" si="25"/>
        <v>0</v>
      </c>
      <c r="M104" s="583"/>
      <c r="N104" s="583"/>
      <c r="O104" s="583"/>
      <c r="P104" s="574">
        <f t="shared" si="26"/>
        <v>0</v>
      </c>
      <c r="Q104" s="583"/>
      <c r="R104" s="583"/>
      <c r="S104" s="573"/>
      <c r="T104" s="576">
        <f t="shared" si="27"/>
        <v>0</v>
      </c>
      <c r="U104" s="580">
        <f t="shared" si="28"/>
        <v>0</v>
      </c>
    </row>
    <row r="105" spans="1:21" ht="14.25">
      <c r="A105" s="282">
        <v>10</v>
      </c>
      <c r="B105" s="378" t="s">
        <v>385</v>
      </c>
      <c r="C105" s="380"/>
      <c r="D105" s="578"/>
      <c r="E105" s="582"/>
      <c r="F105" s="582"/>
      <c r="G105" s="574">
        <f t="shared" si="23"/>
        <v>0</v>
      </c>
      <c r="H105" s="582"/>
      <c r="I105" s="582"/>
      <c r="J105" s="582"/>
      <c r="K105" s="574">
        <f t="shared" si="24"/>
        <v>0</v>
      </c>
      <c r="L105" s="574">
        <f t="shared" si="25"/>
        <v>0</v>
      </c>
      <c r="M105" s="582"/>
      <c r="N105" s="582"/>
      <c r="O105" s="582"/>
      <c r="P105" s="574">
        <f t="shared" si="26"/>
        <v>0</v>
      </c>
      <c r="Q105" s="582"/>
      <c r="R105" s="582"/>
      <c r="S105" s="573"/>
      <c r="T105" s="576">
        <f t="shared" si="27"/>
        <v>0</v>
      </c>
      <c r="U105" s="580">
        <f t="shared" si="28"/>
        <v>0</v>
      </c>
    </row>
    <row r="106" spans="1:21" ht="14.25">
      <c r="A106" s="282">
        <v>11</v>
      </c>
      <c r="B106" s="378" t="s">
        <v>29</v>
      </c>
      <c r="C106" s="380"/>
      <c r="D106" s="578"/>
      <c r="E106" s="582"/>
      <c r="F106" s="582"/>
      <c r="G106" s="574">
        <f t="shared" si="23"/>
        <v>0</v>
      </c>
      <c r="H106" s="582"/>
      <c r="I106" s="582"/>
      <c r="J106" s="582"/>
      <c r="K106" s="574">
        <f t="shared" si="24"/>
        <v>0</v>
      </c>
      <c r="L106" s="574">
        <f t="shared" si="25"/>
        <v>0</v>
      </c>
      <c r="M106" s="582"/>
      <c r="N106" s="582"/>
      <c r="O106" s="582"/>
      <c r="P106" s="574">
        <f t="shared" si="26"/>
        <v>0</v>
      </c>
      <c r="Q106" s="582"/>
      <c r="R106" s="582"/>
      <c r="S106" s="573"/>
      <c r="T106" s="576">
        <f t="shared" si="27"/>
        <v>0</v>
      </c>
      <c r="U106" s="580">
        <f t="shared" si="28"/>
        <v>0</v>
      </c>
    </row>
    <row r="107" spans="1:21" ht="14.25">
      <c r="A107" s="282">
        <v>12</v>
      </c>
      <c r="B107" s="378" t="s">
        <v>27</v>
      </c>
      <c r="C107" s="380"/>
      <c r="D107" s="578"/>
      <c r="E107" s="582"/>
      <c r="F107" s="582"/>
      <c r="G107" s="574">
        <f t="shared" si="23"/>
        <v>0</v>
      </c>
      <c r="H107" s="582"/>
      <c r="I107" s="582"/>
      <c r="J107" s="582"/>
      <c r="K107" s="574">
        <f t="shared" si="24"/>
        <v>0</v>
      </c>
      <c r="L107" s="574">
        <f t="shared" si="25"/>
        <v>0</v>
      </c>
      <c r="M107" s="582"/>
      <c r="N107" s="582"/>
      <c r="O107" s="582"/>
      <c r="P107" s="574">
        <f t="shared" si="26"/>
        <v>0</v>
      </c>
      <c r="Q107" s="582"/>
      <c r="R107" s="582"/>
      <c r="S107" s="573"/>
      <c r="T107" s="576">
        <f t="shared" si="27"/>
        <v>0</v>
      </c>
      <c r="U107" s="580">
        <f t="shared" si="28"/>
        <v>0</v>
      </c>
    </row>
    <row r="108" spans="1:21" ht="14.25">
      <c r="A108" s="282">
        <v>13</v>
      </c>
      <c r="B108" s="378" t="s">
        <v>28</v>
      </c>
      <c r="C108" s="380"/>
      <c r="D108" s="578"/>
      <c r="E108" s="582"/>
      <c r="F108" s="582"/>
      <c r="G108" s="574">
        <f t="shared" si="23"/>
        <v>0</v>
      </c>
      <c r="H108" s="582"/>
      <c r="I108" s="582"/>
      <c r="J108" s="582"/>
      <c r="K108" s="574">
        <f t="shared" si="24"/>
        <v>0</v>
      </c>
      <c r="L108" s="574">
        <f t="shared" si="25"/>
        <v>0</v>
      </c>
      <c r="M108" s="582"/>
      <c r="N108" s="582"/>
      <c r="O108" s="582"/>
      <c r="P108" s="574">
        <f t="shared" si="26"/>
        <v>0</v>
      </c>
      <c r="Q108" s="582"/>
      <c r="R108" s="582"/>
      <c r="S108" s="573"/>
      <c r="T108" s="576">
        <f t="shared" si="27"/>
        <v>0</v>
      </c>
      <c r="U108" s="580">
        <f t="shared" si="28"/>
        <v>0</v>
      </c>
    </row>
    <row r="109" spans="1:21" ht="14.25">
      <c r="A109" s="282">
        <v>14</v>
      </c>
      <c r="B109" s="378" t="s">
        <v>24</v>
      </c>
      <c r="C109" s="380"/>
      <c r="D109" s="578"/>
      <c r="E109" s="582"/>
      <c r="F109" s="582"/>
      <c r="G109" s="574">
        <f t="shared" si="23"/>
        <v>0</v>
      </c>
      <c r="H109" s="582"/>
      <c r="I109" s="582"/>
      <c r="J109" s="582"/>
      <c r="K109" s="574">
        <f t="shared" si="24"/>
        <v>0</v>
      </c>
      <c r="L109" s="574">
        <f t="shared" si="25"/>
        <v>0</v>
      </c>
      <c r="M109" s="582"/>
      <c r="N109" s="582"/>
      <c r="O109" s="582"/>
      <c r="P109" s="574">
        <f t="shared" si="26"/>
        <v>0</v>
      </c>
      <c r="Q109" s="582"/>
      <c r="R109" s="582"/>
      <c r="S109" s="573"/>
      <c r="T109" s="576">
        <f t="shared" si="27"/>
        <v>0</v>
      </c>
      <c r="U109" s="580">
        <f t="shared" si="28"/>
        <v>0</v>
      </c>
    </row>
    <row r="110" spans="1:21" ht="14.25">
      <c r="A110" s="282">
        <v>15</v>
      </c>
      <c r="B110" s="378" t="s">
        <v>695</v>
      </c>
      <c r="C110" s="380"/>
      <c r="D110" s="578"/>
      <c r="E110" s="579"/>
      <c r="F110" s="579"/>
      <c r="G110" s="574">
        <f t="shared" si="23"/>
        <v>0</v>
      </c>
      <c r="H110" s="579"/>
      <c r="I110" s="579"/>
      <c r="J110" s="579"/>
      <c r="K110" s="574">
        <f t="shared" si="24"/>
        <v>0</v>
      </c>
      <c r="L110" s="574">
        <f t="shared" si="25"/>
        <v>0</v>
      </c>
      <c r="M110" s="579"/>
      <c r="N110" s="579"/>
      <c r="O110" s="579"/>
      <c r="P110" s="574">
        <f t="shared" si="26"/>
        <v>0</v>
      </c>
      <c r="Q110" s="579"/>
      <c r="R110" s="579"/>
      <c r="S110" s="573"/>
      <c r="T110" s="576">
        <f t="shared" si="27"/>
        <v>0</v>
      </c>
      <c r="U110" s="580">
        <f t="shared" si="28"/>
        <v>0</v>
      </c>
    </row>
    <row r="111" spans="1:21" ht="14.25">
      <c r="A111" s="282">
        <v>16</v>
      </c>
      <c r="B111" s="378" t="s">
        <v>696</v>
      </c>
      <c r="C111" s="380"/>
      <c r="D111" s="578"/>
      <c r="E111" s="585"/>
      <c r="F111" s="585"/>
      <c r="G111" s="574">
        <f t="shared" si="23"/>
        <v>0</v>
      </c>
      <c r="H111" s="585"/>
      <c r="I111" s="585"/>
      <c r="J111" s="585"/>
      <c r="K111" s="574">
        <f t="shared" si="24"/>
        <v>0</v>
      </c>
      <c r="L111" s="574">
        <f t="shared" si="25"/>
        <v>0</v>
      </c>
      <c r="M111" s="585"/>
      <c r="N111" s="585"/>
      <c r="O111" s="585"/>
      <c r="P111" s="574">
        <f t="shared" si="26"/>
        <v>0</v>
      </c>
      <c r="Q111" s="585"/>
      <c r="R111" s="585"/>
      <c r="S111" s="573"/>
      <c r="T111" s="576">
        <f t="shared" si="27"/>
        <v>0</v>
      </c>
      <c r="U111" s="580">
        <f t="shared" si="28"/>
        <v>0</v>
      </c>
    </row>
    <row r="112" spans="1:21" ht="14.25">
      <c r="A112" s="282">
        <v>17</v>
      </c>
      <c r="B112" s="378" t="s">
        <v>697</v>
      </c>
      <c r="C112" s="380"/>
      <c r="D112" s="578"/>
      <c r="E112" s="587"/>
      <c r="F112" s="587"/>
      <c r="G112" s="574">
        <f t="shared" si="23"/>
        <v>0</v>
      </c>
      <c r="H112" s="587"/>
      <c r="I112" s="587"/>
      <c r="J112" s="587"/>
      <c r="K112" s="574">
        <f t="shared" si="24"/>
        <v>0</v>
      </c>
      <c r="L112" s="574">
        <f t="shared" si="25"/>
        <v>0</v>
      </c>
      <c r="M112" s="587"/>
      <c r="N112" s="587"/>
      <c r="O112" s="587"/>
      <c r="P112" s="574">
        <f t="shared" si="26"/>
        <v>0</v>
      </c>
      <c r="Q112" s="587"/>
      <c r="R112" s="587"/>
      <c r="S112" s="573"/>
      <c r="T112" s="576">
        <f t="shared" si="27"/>
        <v>0</v>
      </c>
      <c r="U112" s="580">
        <f t="shared" si="28"/>
        <v>0</v>
      </c>
    </row>
    <row r="113" spans="1:21" ht="14.25">
      <c r="A113" s="282">
        <v>18</v>
      </c>
      <c r="B113" s="378" t="s">
        <v>698</v>
      </c>
      <c r="C113" s="380"/>
      <c r="D113" s="578"/>
      <c r="E113" s="585"/>
      <c r="F113" s="585"/>
      <c r="G113" s="574">
        <f t="shared" si="23"/>
        <v>0</v>
      </c>
      <c r="H113" s="585"/>
      <c r="I113" s="585"/>
      <c r="J113" s="585"/>
      <c r="K113" s="574">
        <f t="shared" si="24"/>
        <v>0</v>
      </c>
      <c r="L113" s="574">
        <f t="shared" si="25"/>
        <v>0</v>
      </c>
      <c r="M113" s="585"/>
      <c r="N113" s="585"/>
      <c r="O113" s="585"/>
      <c r="P113" s="574">
        <f t="shared" si="26"/>
        <v>0</v>
      </c>
      <c r="Q113" s="585"/>
      <c r="R113" s="585"/>
      <c r="S113" s="573"/>
      <c r="T113" s="576">
        <f t="shared" si="27"/>
        <v>0</v>
      </c>
      <c r="U113" s="580">
        <f t="shared" si="28"/>
        <v>0</v>
      </c>
    </row>
    <row r="114" spans="1:21" ht="14.25">
      <c r="A114" s="282">
        <v>19</v>
      </c>
      <c r="B114" s="378" t="s">
        <v>454</v>
      </c>
      <c r="C114" s="380"/>
      <c r="D114" s="578"/>
      <c r="E114" s="588"/>
      <c r="F114" s="588"/>
      <c r="G114" s="574">
        <f t="shared" si="23"/>
        <v>0</v>
      </c>
      <c r="H114" s="588"/>
      <c r="I114" s="588"/>
      <c r="J114" s="588"/>
      <c r="K114" s="574">
        <f t="shared" si="24"/>
        <v>0</v>
      </c>
      <c r="L114" s="574">
        <f t="shared" si="25"/>
        <v>0</v>
      </c>
      <c r="M114" s="588"/>
      <c r="N114" s="588"/>
      <c r="O114" s="588"/>
      <c r="P114" s="574">
        <f t="shared" si="26"/>
        <v>0</v>
      </c>
      <c r="Q114" s="588"/>
      <c r="R114" s="588"/>
      <c r="S114" s="573"/>
      <c r="T114" s="576">
        <f t="shared" si="27"/>
        <v>0</v>
      </c>
      <c r="U114" s="580">
        <f t="shared" si="28"/>
        <v>0</v>
      </c>
    </row>
    <row r="115" spans="1:21" ht="14.25">
      <c r="A115" s="282">
        <v>20</v>
      </c>
      <c r="B115" s="378" t="s">
        <v>513</v>
      </c>
      <c r="C115" s="380"/>
      <c r="D115" s="578"/>
      <c r="E115" s="579"/>
      <c r="F115" s="579"/>
      <c r="G115" s="574">
        <f t="shared" si="23"/>
        <v>0</v>
      </c>
      <c r="H115" s="579"/>
      <c r="I115" s="579"/>
      <c r="J115" s="579"/>
      <c r="K115" s="574">
        <f t="shared" si="24"/>
        <v>0</v>
      </c>
      <c r="L115" s="574">
        <f t="shared" si="25"/>
        <v>0</v>
      </c>
      <c r="M115" s="579"/>
      <c r="N115" s="579"/>
      <c r="O115" s="579"/>
      <c r="P115" s="574">
        <f t="shared" si="26"/>
        <v>0</v>
      </c>
      <c r="Q115" s="579"/>
      <c r="R115" s="579"/>
      <c r="S115" s="573"/>
      <c r="T115" s="576">
        <f t="shared" si="27"/>
        <v>0</v>
      </c>
      <c r="U115" s="580">
        <f t="shared" si="28"/>
        <v>0</v>
      </c>
    </row>
    <row r="116" spans="1:21" ht="14.25">
      <c r="A116" s="282">
        <v>21</v>
      </c>
      <c r="B116" s="378" t="s">
        <v>32</v>
      </c>
      <c r="C116" s="380"/>
      <c r="D116" s="578"/>
      <c r="E116" s="579"/>
      <c r="F116" s="579"/>
      <c r="G116" s="574">
        <f t="shared" si="23"/>
        <v>0</v>
      </c>
      <c r="H116" s="579"/>
      <c r="I116" s="579"/>
      <c r="J116" s="579"/>
      <c r="K116" s="574">
        <f t="shared" si="24"/>
        <v>0</v>
      </c>
      <c r="L116" s="574">
        <f t="shared" si="25"/>
        <v>0</v>
      </c>
      <c r="M116" s="579"/>
      <c r="N116" s="579"/>
      <c r="O116" s="579"/>
      <c r="P116" s="574">
        <f t="shared" si="26"/>
        <v>0</v>
      </c>
      <c r="Q116" s="579"/>
      <c r="R116" s="579"/>
      <c r="S116" s="573"/>
      <c r="T116" s="576">
        <f t="shared" si="27"/>
        <v>0</v>
      </c>
      <c r="U116" s="580">
        <f t="shared" si="28"/>
        <v>0</v>
      </c>
    </row>
    <row r="117" spans="1:21" ht="14.25">
      <c r="A117" s="282">
        <v>22</v>
      </c>
      <c r="B117" s="378" t="s">
        <v>699</v>
      </c>
      <c r="C117" s="380"/>
      <c r="D117" s="578"/>
      <c r="E117" s="589"/>
      <c r="F117" s="589"/>
      <c r="G117" s="574">
        <f t="shared" si="23"/>
        <v>0</v>
      </c>
      <c r="H117" s="589"/>
      <c r="I117" s="589"/>
      <c r="J117" s="589"/>
      <c r="K117" s="574">
        <f t="shared" si="24"/>
        <v>0</v>
      </c>
      <c r="L117" s="574">
        <f t="shared" si="25"/>
        <v>0</v>
      </c>
      <c r="M117" s="589"/>
      <c r="N117" s="589"/>
      <c r="O117" s="589"/>
      <c r="P117" s="574">
        <f t="shared" si="26"/>
        <v>0</v>
      </c>
      <c r="Q117" s="589"/>
      <c r="R117" s="589"/>
      <c r="S117" s="573"/>
      <c r="T117" s="576">
        <f t="shared" si="27"/>
        <v>0</v>
      </c>
      <c r="U117" s="580">
        <f t="shared" si="28"/>
        <v>0</v>
      </c>
    </row>
    <row r="118" spans="1:21" ht="14.25">
      <c r="A118" s="282">
        <v>23</v>
      </c>
      <c r="B118" s="378" t="s">
        <v>34</v>
      </c>
      <c r="C118" s="380"/>
      <c r="D118" s="578"/>
      <c r="E118" s="590"/>
      <c r="F118" s="590"/>
      <c r="G118" s="574">
        <f t="shared" si="23"/>
        <v>0</v>
      </c>
      <c r="H118" s="590"/>
      <c r="I118" s="590"/>
      <c r="J118" s="590"/>
      <c r="K118" s="574">
        <f t="shared" si="24"/>
        <v>0</v>
      </c>
      <c r="L118" s="574">
        <f t="shared" si="25"/>
        <v>0</v>
      </c>
      <c r="M118" s="590"/>
      <c r="N118" s="590"/>
      <c r="O118" s="590"/>
      <c r="P118" s="574">
        <f t="shared" si="26"/>
        <v>0</v>
      </c>
      <c r="Q118" s="590"/>
      <c r="R118" s="590"/>
      <c r="S118" s="573"/>
      <c r="T118" s="576">
        <f t="shared" si="27"/>
        <v>0</v>
      </c>
      <c r="U118" s="580">
        <f t="shared" si="28"/>
        <v>0</v>
      </c>
    </row>
    <row r="119" spans="1:21" ht="14.25">
      <c r="A119" s="282">
        <v>24</v>
      </c>
      <c r="B119" s="378" t="s">
        <v>33</v>
      </c>
      <c r="C119" s="380"/>
      <c r="D119" s="578"/>
      <c r="E119" s="579"/>
      <c r="F119" s="579"/>
      <c r="G119" s="574">
        <f t="shared" si="23"/>
        <v>0</v>
      </c>
      <c r="H119" s="579"/>
      <c r="I119" s="579"/>
      <c r="J119" s="579"/>
      <c r="K119" s="574">
        <f t="shared" si="24"/>
        <v>0</v>
      </c>
      <c r="L119" s="574">
        <f t="shared" si="25"/>
        <v>0</v>
      </c>
      <c r="M119" s="579"/>
      <c r="N119" s="579"/>
      <c r="O119" s="579"/>
      <c r="P119" s="574">
        <f t="shared" si="26"/>
        <v>0</v>
      </c>
      <c r="Q119" s="579"/>
      <c r="R119" s="579"/>
      <c r="S119" s="573"/>
      <c r="T119" s="576">
        <f>S119</f>
        <v>0</v>
      </c>
      <c r="U119" s="580">
        <f t="shared" si="28"/>
        <v>0</v>
      </c>
    </row>
    <row r="120" spans="1:21" ht="14.25">
      <c r="A120" s="282">
        <v>25</v>
      </c>
      <c r="B120" s="378" t="s">
        <v>35</v>
      </c>
      <c r="C120" s="380"/>
      <c r="D120" s="578"/>
      <c r="E120" s="590"/>
      <c r="F120" s="590"/>
      <c r="G120" s="574">
        <f t="shared" si="23"/>
        <v>0</v>
      </c>
      <c r="H120" s="590"/>
      <c r="I120" s="590"/>
      <c r="J120" s="590"/>
      <c r="K120" s="574">
        <f>J120</f>
        <v>0</v>
      </c>
      <c r="L120" s="574">
        <f>J120</f>
        <v>0</v>
      </c>
      <c r="M120" s="590"/>
      <c r="N120" s="590"/>
      <c r="O120" s="590"/>
      <c r="P120" s="574">
        <f t="shared" si="26"/>
        <v>0</v>
      </c>
      <c r="Q120" s="590"/>
      <c r="R120" s="590"/>
      <c r="S120" s="573"/>
      <c r="T120" s="576">
        <f t="shared" si="27"/>
        <v>0</v>
      </c>
      <c r="U120" s="580">
        <f t="shared" si="28"/>
        <v>0</v>
      </c>
    </row>
    <row r="121" spans="1:21" ht="14.25">
      <c r="A121" s="282">
        <v>26</v>
      </c>
      <c r="B121" s="378" t="s">
        <v>451</v>
      </c>
      <c r="C121" s="380"/>
      <c r="D121" s="578"/>
      <c r="E121" s="579"/>
      <c r="F121" s="579"/>
      <c r="G121" s="574">
        <f>F121</f>
        <v>0</v>
      </c>
      <c r="H121" s="579"/>
      <c r="I121" s="579"/>
      <c r="J121" s="579"/>
      <c r="K121" s="574">
        <f t="shared" si="24"/>
        <v>0</v>
      </c>
      <c r="L121" s="574">
        <f aca="true" t="shared" si="29" ref="L121:L132">J121</f>
        <v>0</v>
      </c>
      <c r="M121" s="579"/>
      <c r="N121" s="579"/>
      <c r="O121" s="579"/>
      <c r="P121" s="574">
        <f t="shared" si="26"/>
        <v>0</v>
      </c>
      <c r="Q121" s="579"/>
      <c r="R121" s="579"/>
      <c r="S121" s="573"/>
      <c r="T121" s="576">
        <f t="shared" si="27"/>
        <v>0</v>
      </c>
      <c r="U121" s="580">
        <f t="shared" si="28"/>
        <v>0</v>
      </c>
    </row>
    <row r="122" spans="1:21" ht="14.25">
      <c r="A122" s="282">
        <v>27</v>
      </c>
      <c r="B122" s="378" t="s">
        <v>700</v>
      </c>
      <c r="C122" s="380"/>
      <c r="D122" s="578"/>
      <c r="E122" s="579"/>
      <c r="F122" s="579"/>
      <c r="G122" s="574">
        <f t="shared" si="23"/>
        <v>0</v>
      </c>
      <c r="H122" s="579"/>
      <c r="I122" s="579"/>
      <c r="J122" s="579"/>
      <c r="K122" s="574">
        <f t="shared" si="24"/>
        <v>0</v>
      </c>
      <c r="L122" s="574">
        <f t="shared" si="29"/>
        <v>0</v>
      </c>
      <c r="M122" s="579"/>
      <c r="N122" s="579"/>
      <c r="O122" s="579"/>
      <c r="P122" s="574">
        <f t="shared" si="26"/>
        <v>0</v>
      </c>
      <c r="Q122" s="579"/>
      <c r="R122" s="579"/>
      <c r="S122" s="573"/>
      <c r="T122" s="576">
        <f t="shared" si="27"/>
        <v>0</v>
      </c>
      <c r="U122" s="580">
        <f t="shared" si="28"/>
        <v>0</v>
      </c>
    </row>
    <row r="123" spans="1:21" ht="14.25">
      <c r="A123" s="282">
        <v>28</v>
      </c>
      <c r="B123" s="378" t="s">
        <v>49</v>
      </c>
      <c r="C123" s="380"/>
      <c r="D123" s="578"/>
      <c r="E123" s="579"/>
      <c r="F123" s="579"/>
      <c r="G123" s="574">
        <f t="shared" si="23"/>
        <v>0</v>
      </c>
      <c r="H123" s="579"/>
      <c r="I123" s="579"/>
      <c r="J123" s="579"/>
      <c r="K123" s="574">
        <f t="shared" si="24"/>
        <v>0</v>
      </c>
      <c r="L123" s="574">
        <f t="shared" si="29"/>
        <v>0</v>
      </c>
      <c r="M123" s="579"/>
      <c r="N123" s="579"/>
      <c r="O123" s="579"/>
      <c r="P123" s="574">
        <f t="shared" si="26"/>
        <v>0</v>
      </c>
      <c r="Q123" s="579"/>
      <c r="R123" s="579"/>
      <c r="S123" s="573"/>
      <c r="T123" s="576">
        <f t="shared" si="27"/>
        <v>0</v>
      </c>
      <c r="U123" s="580">
        <f t="shared" si="28"/>
        <v>0</v>
      </c>
    </row>
    <row r="124" spans="1:21" ht="14.25">
      <c r="A124" s="282">
        <v>29</v>
      </c>
      <c r="B124" s="378" t="s">
        <v>26</v>
      </c>
      <c r="C124" s="380"/>
      <c r="D124" s="578"/>
      <c r="E124" s="579"/>
      <c r="F124" s="579"/>
      <c r="G124" s="574">
        <f t="shared" si="23"/>
        <v>0</v>
      </c>
      <c r="H124" s="579"/>
      <c r="I124" s="579"/>
      <c r="J124" s="579"/>
      <c r="K124" s="574">
        <f t="shared" si="24"/>
        <v>0</v>
      </c>
      <c r="L124" s="574">
        <f t="shared" si="29"/>
        <v>0</v>
      </c>
      <c r="M124" s="579"/>
      <c r="N124" s="579"/>
      <c r="O124" s="579"/>
      <c r="P124" s="574">
        <f t="shared" si="26"/>
        <v>0</v>
      </c>
      <c r="Q124" s="579"/>
      <c r="R124" s="579"/>
      <c r="S124" s="573"/>
      <c r="T124" s="576">
        <f t="shared" si="27"/>
        <v>0</v>
      </c>
      <c r="U124" s="580">
        <f t="shared" si="28"/>
        <v>0</v>
      </c>
    </row>
    <row r="125" spans="1:21" ht="14.25">
      <c r="A125" s="282">
        <v>30</v>
      </c>
      <c r="B125" s="378" t="s">
        <v>1019</v>
      </c>
      <c r="C125" s="380"/>
      <c r="D125" s="629"/>
      <c r="E125" s="591"/>
      <c r="F125" s="591"/>
      <c r="G125" s="574">
        <f t="shared" si="23"/>
        <v>0</v>
      </c>
      <c r="H125" s="591"/>
      <c r="I125" s="591"/>
      <c r="J125" s="591"/>
      <c r="K125" s="574">
        <f t="shared" si="24"/>
        <v>0</v>
      </c>
      <c r="L125" s="574">
        <f t="shared" si="29"/>
        <v>0</v>
      </c>
      <c r="M125" s="591"/>
      <c r="N125" s="591"/>
      <c r="O125" s="591"/>
      <c r="P125" s="574">
        <f t="shared" si="26"/>
        <v>0</v>
      </c>
      <c r="Q125" s="591"/>
      <c r="R125" s="591"/>
      <c r="S125" s="573"/>
      <c r="T125" s="576">
        <f t="shared" si="27"/>
        <v>0</v>
      </c>
      <c r="U125" s="580">
        <f t="shared" si="28"/>
        <v>0</v>
      </c>
    </row>
    <row r="126" spans="1:21" ht="14.25">
      <c r="A126" s="282">
        <v>31</v>
      </c>
      <c r="B126" s="378">
        <f>B83</f>
        <v>0</v>
      </c>
      <c r="C126" s="380"/>
      <c r="D126" s="578"/>
      <c r="E126" s="590"/>
      <c r="F126" s="590"/>
      <c r="G126" s="574">
        <f t="shared" si="23"/>
        <v>0</v>
      </c>
      <c r="H126" s="590"/>
      <c r="I126" s="590"/>
      <c r="J126" s="590"/>
      <c r="K126" s="574">
        <f t="shared" si="24"/>
        <v>0</v>
      </c>
      <c r="L126" s="574">
        <f t="shared" si="29"/>
        <v>0</v>
      </c>
      <c r="M126" s="590"/>
      <c r="N126" s="590"/>
      <c r="O126" s="590"/>
      <c r="P126" s="574">
        <f>O126</f>
        <v>0</v>
      </c>
      <c r="Q126" s="590"/>
      <c r="R126" s="590"/>
      <c r="S126" s="573"/>
      <c r="T126" s="576">
        <f t="shared" si="27"/>
        <v>0</v>
      </c>
      <c r="U126" s="580">
        <f>S126</f>
        <v>0</v>
      </c>
    </row>
    <row r="127" spans="1:21" ht="14.25">
      <c r="A127" s="282">
        <v>32</v>
      </c>
      <c r="B127" s="378">
        <f>B84</f>
        <v>0</v>
      </c>
      <c r="C127" s="380"/>
      <c r="D127" s="578"/>
      <c r="E127" s="579"/>
      <c r="F127" s="579"/>
      <c r="G127" s="574">
        <f t="shared" si="23"/>
        <v>0</v>
      </c>
      <c r="H127" s="579"/>
      <c r="I127" s="579"/>
      <c r="J127" s="579"/>
      <c r="K127" s="574">
        <f t="shared" si="24"/>
        <v>0</v>
      </c>
      <c r="L127" s="574">
        <f t="shared" si="29"/>
        <v>0</v>
      </c>
      <c r="M127" s="579"/>
      <c r="N127" s="579"/>
      <c r="O127" s="579"/>
      <c r="P127" s="574">
        <f t="shared" si="26"/>
        <v>0</v>
      </c>
      <c r="Q127" s="579"/>
      <c r="R127" s="579"/>
      <c r="S127" s="573"/>
      <c r="T127" s="576">
        <f t="shared" si="27"/>
        <v>0</v>
      </c>
      <c r="U127" s="580">
        <f aca="true" t="shared" si="30" ref="U127:U132">S127</f>
        <v>0</v>
      </c>
    </row>
    <row r="128" spans="1:21" ht="14.25">
      <c r="A128" s="282">
        <v>33</v>
      </c>
      <c r="B128" s="378">
        <f>B85</f>
        <v>0</v>
      </c>
      <c r="C128" s="380"/>
      <c r="D128" s="578"/>
      <c r="E128" s="579"/>
      <c r="F128" s="579"/>
      <c r="G128" s="574">
        <f t="shared" si="23"/>
        <v>0</v>
      </c>
      <c r="H128" s="579"/>
      <c r="I128" s="579"/>
      <c r="J128" s="579"/>
      <c r="K128" s="574">
        <f t="shared" si="24"/>
        <v>0</v>
      </c>
      <c r="L128" s="574">
        <f t="shared" si="29"/>
        <v>0</v>
      </c>
      <c r="M128" s="579"/>
      <c r="N128" s="579"/>
      <c r="O128" s="579"/>
      <c r="P128" s="574">
        <f t="shared" si="26"/>
        <v>0</v>
      </c>
      <c r="Q128" s="579"/>
      <c r="R128" s="579"/>
      <c r="S128" s="573"/>
      <c r="T128" s="576">
        <f t="shared" si="27"/>
        <v>0</v>
      </c>
      <c r="U128" s="580">
        <f t="shared" si="30"/>
        <v>0</v>
      </c>
    </row>
    <row r="129" spans="1:21" ht="14.25">
      <c r="A129" s="282">
        <v>34</v>
      </c>
      <c r="B129" s="378">
        <f>B86</f>
        <v>0</v>
      </c>
      <c r="C129" s="380"/>
      <c r="D129" s="578"/>
      <c r="E129" s="579"/>
      <c r="F129" s="579"/>
      <c r="G129" s="574">
        <f t="shared" si="23"/>
        <v>0</v>
      </c>
      <c r="H129" s="579"/>
      <c r="I129" s="579"/>
      <c r="J129" s="579"/>
      <c r="K129" s="574">
        <f t="shared" si="24"/>
        <v>0</v>
      </c>
      <c r="L129" s="574">
        <f t="shared" si="29"/>
        <v>0</v>
      </c>
      <c r="M129" s="579"/>
      <c r="N129" s="579"/>
      <c r="O129" s="579"/>
      <c r="P129" s="574">
        <f t="shared" si="26"/>
        <v>0</v>
      </c>
      <c r="Q129" s="579"/>
      <c r="R129" s="579"/>
      <c r="S129" s="573"/>
      <c r="T129" s="576">
        <f t="shared" si="27"/>
        <v>0</v>
      </c>
      <c r="U129" s="580">
        <f t="shared" si="30"/>
        <v>0</v>
      </c>
    </row>
    <row r="130" spans="1:21" ht="14.25">
      <c r="A130" s="282">
        <v>35</v>
      </c>
      <c r="B130" s="378">
        <f>B87</f>
        <v>0</v>
      </c>
      <c r="C130" s="380"/>
      <c r="D130" s="578"/>
      <c r="E130" s="579"/>
      <c r="F130" s="579"/>
      <c r="G130" s="574">
        <f t="shared" si="23"/>
        <v>0</v>
      </c>
      <c r="H130" s="579"/>
      <c r="I130" s="579"/>
      <c r="J130" s="579"/>
      <c r="K130" s="574">
        <f t="shared" si="24"/>
        <v>0</v>
      </c>
      <c r="L130" s="574">
        <f t="shared" si="29"/>
        <v>0</v>
      </c>
      <c r="M130" s="579"/>
      <c r="N130" s="579"/>
      <c r="O130" s="579"/>
      <c r="P130" s="574">
        <f t="shared" si="26"/>
        <v>0</v>
      </c>
      <c r="Q130" s="579"/>
      <c r="R130" s="579"/>
      <c r="S130" s="573"/>
      <c r="T130" s="576">
        <f t="shared" si="27"/>
        <v>0</v>
      </c>
      <c r="U130" s="580">
        <f t="shared" si="30"/>
        <v>0</v>
      </c>
    </row>
    <row r="131" spans="1:21" ht="14.25">
      <c r="A131" s="282">
        <v>36</v>
      </c>
      <c r="B131" s="405"/>
      <c r="C131" s="71"/>
      <c r="D131" s="578"/>
      <c r="E131" s="579"/>
      <c r="F131" s="579"/>
      <c r="G131" s="574">
        <f t="shared" si="23"/>
        <v>0</v>
      </c>
      <c r="H131" s="579"/>
      <c r="I131" s="579"/>
      <c r="J131" s="579"/>
      <c r="K131" s="574">
        <f t="shared" si="24"/>
        <v>0</v>
      </c>
      <c r="L131" s="574">
        <f t="shared" si="29"/>
        <v>0</v>
      </c>
      <c r="M131" s="579"/>
      <c r="N131" s="579"/>
      <c r="O131" s="579"/>
      <c r="P131" s="574">
        <f t="shared" si="26"/>
        <v>0</v>
      </c>
      <c r="Q131" s="579"/>
      <c r="R131" s="579"/>
      <c r="S131" s="573"/>
      <c r="T131" s="576">
        <f t="shared" si="27"/>
        <v>0</v>
      </c>
      <c r="U131" s="580">
        <f t="shared" si="30"/>
        <v>0</v>
      </c>
    </row>
    <row r="132" spans="1:21" ht="14.25">
      <c r="A132" s="282">
        <v>37</v>
      </c>
      <c r="B132" s="405"/>
      <c r="C132" s="71"/>
      <c r="D132" s="578"/>
      <c r="E132" s="579"/>
      <c r="F132" s="579"/>
      <c r="G132" s="574">
        <f t="shared" si="23"/>
        <v>0</v>
      </c>
      <c r="H132" s="579"/>
      <c r="I132" s="579"/>
      <c r="J132" s="579"/>
      <c r="K132" s="574">
        <f t="shared" si="24"/>
        <v>0</v>
      </c>
      <c r="L132" s="574">
        <f t="shared" si="29"/>
        <v>0</v>
      </c>
      <c r="M132" s="579"/>
      <c r="N132" s="579"/>
      <c r="O132" s="579"/>
      <c r="P132" s="574">
        <f t="shared" si="26"/>
        <v>0</v>
      </c>
      <c r="Q132" s="579"/>
      <c r="R132" s="579"/>
      <c r="S132" s="573"/>
      <c r="T132" s="576">
        <f t="shared" si="27"/>
        <v>0</v>
      </c>
      <c r="U132" s="580">
        <f t="shared" si="30"/>
        <v>0</v>
      </c>
    </row>
    <row r="133" spans="1:21" ht="15" thickBot="1">
      <c r="A133" s="284">
        <v>38</v>
      </c>
      <c r="B133" s="387" t="s">
        <v>1038</v>
      </c>
      <c r="C133" s="388"/>
      <c r="D133" s="592">
        <f aca="true" t="shared" si="31" ref="D133:U133">SUM(D96:D132)</f>
        <v>0</v>
      </c>
      <c r="E133" s="593">
        <f t="shared" si="31"/>
        <v>0</v>
      </c>
      <c r="F133" s="593">
        <f t="shared" si="31"/>
        <v>0</v>
      </c>
      <c r="G133" s="594">
        <f t="shared" si="31"/>
        <v>0</v>
      </c>
      <c r="H133" s="593">
        <f t="shared" si="31"/>
        <v>0</v>
      </c>
      <c r="I133" s="593">
        <f t="shared" si="31"/>
        <v>0</v>
      </c>
      <c r="J133" s="593">
        <f t="shared" si="31"/>
        <v>0</v>
      </c>
      <c r="K133" s="594">
        <f t="shared" si="31"/>
        <v>0</v>
      </c>
      <c r="L133" s="594">
        <f t="shared" si="31"/>
        <v>0</v>
      </c>
      <c r="M133" s="593">
        <f t="shared" si="31"/>
        <v>0</v>
      </c>
      <c r="N133" s="593">
        <f t="shared" si="31"/>
        <v>0</v>
      </c>
      <c r="O133" s="593">
        <f t="shared" si="31"/>
        <v>0</v>
      </c>
      <c r="P133" s="594">
        <f t="shared" si="31"/>
        <v>0</v>
      </c>
      <c r="Q133" s="593">
        <f t="shared" si="31"/>
        <v>0</v>
      </c>
      <c r="R133" s="593">
        <f t="shared" si="31"/>
        <v>0</v>
      </c>
      <c r="S133" s="593">
        <f t="shared" si="31"/>
        <v>0</v>
      </c>
      <c r="T133" s="594">
        <f t="shared" si="31"/>
        <v>0</v>
      </c>
      <c r="U133" s="595">
        <f t="shared" si="31"/>
        <v>0</v>
      </c>
    </row>
    <row r="134" spans="4:21" ht="15" thickTop="1"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</row>
    <row r="135" spans="4:21" ht="14.25"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</row>
    <row r="136" spans="4:21" ht="14.25"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</row>
    <row r="137" spans="4:21" ht="14.25">
      <c r="D137" s="596"/>
      <c r="E137" s="596"/>
      <c r="F137" s="596"/>
      <c r="G137" s="596"/>
      <c r="H137" s="596"/>
      <c r="I137" s="596"/>
      <c r="J137" s="596"/>
      <c r="K137" s="596"/>
      <c r="L137" s="596"/>
      <c r="M137" s="596"/>
      <c r="N137" s="596"/>
      <c r="O137" s="596"/>
      <c r="P137" s="596"/>
      <c r="Q137" s="596"/>
      <c r="R137" s="596"/>
      <c r="S137" s="596"/>
      <c r="T137" s="596"/>
      <c r="U137" s="596"/>
    </row>
    <row r="138" spans="4:21" ht="14.25">
      <c r="D138" s="596"/>
      <c r="E138" s="596"/>
      <c r="F138" s="596"/>
      <c r="G138" s="596"/>
      <c r="H138" s="596"/>
      <c r="I138" s="596"/>
      <c r="J138" s="596"/>
      <c r="K138" s="596"/>
      <c r="L138" s="596"/>
      <c r="M138" s="596"/>
      <c r="N138" s="596"/>
      <c r="O138" s="596"/>
      <c r="P138" s="596"/>
      <c r="Q138" s="596"/>
      <c r="R138" s="596"/>
      <c r="S138" s="596"/>
      <c r="T138" s="596"/>
      <c r="U138" s="596"/>
    </row>
    <row r="139" spans="4:21" ht="14.25">
      <c r="D139" s="596"/>
      <c r="E139" s="596"/>
      <c r="F139" s="596"/>
      <c r="G139" s="596"/>
      <c r="H139" s="596"/>
      <c r="I139" s="596"/>
      <c r="J139" s="596"/>
      <c r="K139" s="596"/>
      <c r="L139" s="596"/>
      <c r="M139" s="596"/>
      <c r="N139" s="596"/>
      <c r="O139" s="596"/>
      <c r="P139" s="596"/>
      <c r="Q139" s="596"/>
      <c r="R139" s="596"/>
      <c r="S139" s="596"/>
      <c r="T139" s="596"/>
      <c r="U139" s="596"/>
    </row>
    <row r="140" spans="4:21" ht="14.25">
      <c r="D140" s="596"/>
      <c r="E140" s="596"/>
      <c r="F140" s="596"/>
      <c r="G140" s="596"/>
      <c r="H140" s="596"/>
      <c r="I140" s="596"/>
      <c r="J140" s="596"/>
      <c r="K140" s="596"/>
      <c r="L140" s="596"/>
      <c r="M140" s="596"/>
      <c r="N140" s="596"/>
      <c r="O140" s="596"/>
      <c r="P140" s="596"/>
      <c r="Q140" s="596"/>
      <c r="R140" s="596"/>
      <c r="S140" s="596"/>
      <c r="T140" s="596"/>
      <c r="U140" s="596"/>
    </row>
    <row r="141" spans="4:21" ht="14.25">
      <c r="D141" s="596"/>
      <c r="E141" s="596"/>
      <c r="F141" s="596"/>
      <c r="G141" s="596"/>
      <c r="H141" s="596"/>
      <c r="I141" s="596"/>
      <c r="J141" s="596"/>
      <c r="K141" s="596"/>
      <c r="L141" s="596"/>
      <c r="M141" s="596"/>
      <c r="N141" s="596"/>
      <c r="O141" s="596"/>
      <c r="P141" s="596"/>
      <c r="Q141" s="596"/>
      <c r="R141" s="596"/>
      <c r="S141" s="596"/>
      <c r="T141" s="596"/>
      <c r="U141" s="596"/>
    </row>
    <row r="142" spans="4:21" ht="14.25">
      <c r="D142" s="596"/>
      <c r="E142" s="596"/>
      <c r="F142" s="596"/>
      <c r="G142" s="596"/>
      <c r="H142" s="596"/>
      <c r="I142" s="596"/>
      <c r="J142" s="596"/>
      <c r="K142" s="596"/>
      <c r="L142" s="596"/>
      <c r="M142" s="596"/>
      <c r="N142" s="596"/>
      <c r="O142" s="596"/>
      <c r="P142" s="596"/>
      <c r="Q142" s="596"/>
      <c r="R142" s="596"/>
      <c r="S142" s="596"/>
      <c r="T142" s="596"/>
      <c r="U142" s="596"/>
    </row>
  </sheetData>
  <mergeCells count="14">
    <mergeCell ref="C2:E2"/>
    <mergeCell ref="C3:E3"/>
    <mergeCell ref="A6:A7"/>
    <mergeCell ref="B6:B7"/>
    <mergeCell ref="A51:A52"/>
    <mergeCell ref="B49:B50"/>
    <mergeCell ref="B51:B52"/>
    <mergeCell ref="A8:A9"/>
    <mergeCell ref="A49:A50"/>
    <mergeCell ref="B8:B9"/>
    <mergeCell ref="A92:A93"/>
    <mergeCell ref="B92:B93"/>
    <mergeCell ref="A94:A95"/>
    <mergeCell ref="B94:B9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9"/>
  <dimension ref="B1:G1438"/>
  <sheetViews>
    <sheetView showGridLines="0" showZeros="0" workbookViewId="0" topLeftCell="A1">
      <selection activeCell="G14" sqref="G14"/>
    </sheetView>
  </sheetViews>
  <sheetFormatPr defaultColWidth="9.00390625" defaultRowHeight="14.25"/>
  <cols>
    <col min="1" max="1" width="9.00390625" style="14" customWidth="1"/>
    <col min="2" max="2" width="32.25390625" style="14" customWidth="1"/>
    <col min="3" max="3" width="16.125" style="14" customWidth="1"/>
    <col min="4" max="4" width="16.25390625" style="14" customWidth="1"/>
    <col min="5" max="5" width="16.25390625" style="14" bestFit="1" customWidth="1"/>
    <col min="6" max="6" width="9.00390625" style="14" customWidth="1"/>
    <col min="7" max="7" width="13.125" style="14" bestFit="1" customWidth="1"/>
    <col min="8" max="16384" width="9.00390625" style="14" customWidth="1"/>
  </cols>
  <sheetData>
    <row r="1" spans="2:7" ht="19.5" thickBot="1">
      <c r="B1" s="887" t="s">
        <v>1042</v>
      </c>
      <c r="C1" s="887"/>
      <c r="D1" s="887"/>
      <c r="E1" s="887"/>
      <c r="F1" s="708">
        <v>1</v>
      </c>
      <c r="G1" s="894"/>
    </row>
    <row r="2" spans="2:7" ht="14.25">
      <c r="B2" s="888">
        <f>HLOOKUP($F$1,'管理费用'!D5:V137,2)</f>
        <v>38718</v>
      </c>
      <c r="C2" s="889"/>
      <c r="D2" s="890"/>
      <c r="E2" s="879"/>
      <c r="F2" s="894"/>
      <c r="G2" s="894"/>
    </row>
    <row r="3" spans="2:7" ht="15" customHeight="1">
      <c r="B3" s="874" t="s">
        <v>1044</v>
      </c>
      <c r="C3" s="891"/>
      <c r="D3" s="891"/>
      <c r="E3" s="892" t="s">
        <v>416</v>
      </c>
      <c r="F3" s="894"/>
      <c r="G3" s="894"/>
    </row>
    <row r="4" spans="2:7" ht="4.5" customHeight="1" thickBot="1">
      <c r="B4" s="891"/>
      <c r="C4" s="891"/>
      <c r="D4" s="891"/>
      <c r="E4" s="893"/>
      <c r="F4" s="894"/>
      <c r="G4" s="894"/>
    </row>
    <row r="5" spans="2:7" s="500" customFormat="1" ht="30" customHeight="1">
      <c r="B5" s="686" t="s">
        <v>504</v>
      </c>
      <c r="C5" s="687" t="s">
        <v>505</v>
      </c>
      <c r="D5" s="688" t="s">
        <v>506</v>
      </c>
      <c r="E5" s="689" t="s">
        <v>507</v>
      </c>
      <c r="F5" s="895"/>
      <c r="G5" s="895"/>
    </row>
    <row r="6" spans="2:7" s="500" customFormat="1" ht="3.75" customHeight="1">
      <c r="B6" s="805"/>
      <c r="C6" s="805"/>
      <c r="D6" s="805"/>
      <c r="E6" s="805"/>
      <c r="F6" s="895"/>
      <c r="G6" s="895"/>
    </row>
    <row r="7" spans="2:7" s="32" customFormat="1" ht="19.5" customHeight="1">
      <c r="B7" s="882" t="s">
        <v>394</v>
      </c>
      <c r="C7" s="698">
        <f>HLOOKUP($F$1,'管理费用'!$D$5:$V$136,6)</f>
        <v>500</v>
      </c>
      <c r="D7" s="699">
        <f>HLOOKUP($F$1,'管理费用'!$D$5:$V$136,49)</f>
        <v>500</v>
      </c>
      <c r="E7" s="700">
        <f>HLOOKUP($F$1,'管理费用'!$D$5:$V$136,92)</f>
        <v>0</v>
      </c>
      <c r="F7" s="984">
        <f ca="1">NOW()</f>
        <v>38825.56742395833</v>
      </c>
      <c r="G7" s="984"/>
    </row>
    <row r="8" spans="2:7" s="32" customFormat="1" ht="19.5" customHeight="1">
      <c r="B8" s="883" t="s">
        <v>393</v>
      </c>
      <c r="C8" s="701">
        <f>HLOOKUP($F$1,'管理费用'!$D$5:$V$136,7)</f>
        <v>0</v>
      </c>
      <c r="D8" s="702">
        <f>HLOOKUP($F$1,'管理费用'!$D$5:$V$136,50)</f>
        <v>0</v>
      </c>
      <c r="E8" s="703">
        <f>HLOOKUP($F$1,'管理费用'!$D$5:$V$136,93)</f>
        <v>0</v>
      </c>
      <c r="F8" s="988" t="str">
        <f>CHOOSE(WEEKDAY(F7,2),"星期一","星期二","星期三","星期四","星期五","星期六","星期日")</f>
        <v>星期二</v>
      </c>
      <c r="G8" s="988"/>
    </row>
    <row r="9" spans="2:7" s="32" customFormat="1" ht="19.5" customHeight="1">
      <c r="B9" s="883" t="s">
        <v>392</v>
      </c>
      <c r="C9" s="704">
        <f>HLOOKUP($F$1,'管理费用'!$D$5:$V$136,8)</f>
        <v>0</v>
      </c>
      <c r="D9" s="702">
        <f>HLOOKUP($F$1,'管理费用'!$D$5:$V$136,51)</f>
        <v>0</v>
      </c>
      <c r="E9" s="703">
        <f>HLOOKUP($F$1,'管理费用'!$D$5:$V$136,94)</f>
        <v>0</v>
      </c>
      <c r="F9" s="874"/>
      <c r="G9" s="874"/>
    </row>
    <row r="10" spans="2:7" s="32" customFormat="1" ht="19.5" customHeight="1">
      <c r="B10" s="883" t="s">
        <v>415</v>
      </c>
      <c r="C10" s="704">
        <f>HLOOKUP($F$1,'管理费用'!$D$5:$V$136,9)</f>
        <v>0</v>
      </c>
      <c r="D10" s="702">
        <f>HLOOKUP($F$1,'管理费用'!$D$5:$V$136,52)</f>
        <v>0</v>
      </c>
      <c r="E10" s="703">
        <f>HLOOKUP($F$1,'管理费用'!$D$5:$V$136,95)</f>
        <v>0</v>
      </c>
      <c r="F10" s="874"/>
      <c r="G10" s="877"/>
    </row>
    <row r="11" spans="2:7" s="32" customFormat="1" ht="19.5" customHeight="1">
      <c r="B11" s="883" t="s">
        <v>391</v>
      </c>
      <c r="C11" s="704">
        <f>HLOOKUP($F$1,'管理费用'!$D$5:$V$136,10)</f>
        <v>0</v>
      </c>
      <c r="D11" s="702">
        <f>HLOOKUP($F$1,'管理费用'!$D$5:$V$136,53)</f>
        <v>0</v>
      </c>
      <c r="E11" s="703">
        <f>HLOOKUP($F$1,'管理费用'!$D$5:$V$136,96)</f>
        <v>0</v>
      </c>
      <c r="F11" s="874"/>
      <c r="G11" s="877"/>
    </row>
    <row r="12" spans="2:7" s="32" customFormat="1" ht="19.5" customHeight="1">
      <c r="B12" s="883" t="s">
        <v>395</v>
      </c>
      <c r="C12" s="704">
        <f>HLOOKUP($F$1,'管理费用'!$D$5:$V$136,11)</f>
        <v>0</v>
      </c>
      <c r="D12" s="702">
        <f>HLOOKUP($F$1,'管理费用'!$D$5:$V$136,54)</f>
        <v>0</v>
      </c>
      <c r="E12" s="703">
        <f>HLOOKUP($F$1,'管理费用'!$D$5:$V$136,97)</f>
        <v>0</v>
      </c>
      <c r="F12" s="874"/>
      <c r="G12" s="874"/>
    </row>
    <row r="13" spans="2:7" s="32" customFormat="1" ht="19.5" customHeight="1">
      <c r="B13" s="883" t="s">
        <v>396</v>
      </c>
      <c r="C13" s="704">
        <f>HLOOKUP($F$1,'管理费用'!$D$5:$V$136,12)</f>
        <v>0</v>
      </c>
      <c r="D13" s="702">
        <f>HLOOKUP($F$1,'管理费用'!$D$5:$V$136,55)</f>
        <v>0</v>
      </c>
      <c r="E13" s="703">
        <f>HLOOKUP($F$1,'管理费用'!$D$5:$V$136,98)</f>
        <v>0</v>
      </c>
      <c r="F13" s="874"/>
      <c r="G13" s="874"/>
    </row>
    <row r="14" spans="2:7" s="32" customFormat="1" ht="19.5" customHeight="1">
      <c r="B14" s="883" t="s">
        <v>397</v>
      </c>
      <c r="C14" s="704">
        <f>HLOOKUP($F$1,'管理费用'!$D$5:$V$136,13)</f>
        <v>0</v>
      </c>
      <c r="D14" s="702">
        <f>HLOOKUP($F$1,'管理费用'!$D$5:$V$136,56)</f>
        <v>0</v>
      </c>
      <c r="E14" s="703">
        <f>HLOOKUP($F$1,'管理费用'!$D$5:$V$136,99)</f>
        <v>0</v>
      </c>
      <c r="F14" s="874"/>
      <c r="G14" s="874"/>
    </row>
    <row r="15" spans="2:7" s="32" customFormat="1" ht="19.5" customHeight="1">
      <c r="B15" s="883" t="s">
        <v>398</v>
      </c>
      <c r="C15" s="704">
        <f>HLOOKUP($F$1,'管理费用'!$D$5:$V$136,14)</f>
        <v>0</v>
      </c>
      <c r="D15" s="702">
        <f>HLOOKUP($F$1,'管理费用'!$D$5:$V$136,57)</f>
        <v>0</v>
      </c>
      <c r="E15" s="703">
        <f>HLOOKUP($F$1,'管理费用'!$D$5:$V$136,100)</f>
        <v>0</v>
      </c>
      <c r="F15" s="874"/>
      <c r="G15" s="874"/>
    </row>
    <row r="16" spans="2:7" s="32" customFormat="1" ht="19.5" customHeight="1">
      <c r="B16" s="883" t="s">
        <v>399</v>
      </c>
      <c r="C16" s="704">
        <f>HLOOKUP($F$1,'管理费用'!$D$5:$V$136,15)</f>
        <v>0</v>
      </c>
      <c r="D16" s="702">
        <f>HLOOKUP($F$1,'管理费用'!$D$5:$V$136,58)</f>
        <v>0</v>
      </c>
      <c r="E16" s="703">
        <f>HLOOKUP($F$1,'管理费用'!$D$5:$V$136,101)</f>
        <v>0</v>
      </c>
      <c r="F16" s="874"/>
      <c r="G16" s="874"/>
    </row>
    <row r="17" spans="2:7" s="32" customFormat="1" ht="19.5" customHeight="1">
      <c r="B17" s="883" t="s">
        <v>400</v>
      </c>
      <c r="C17" s="704">
        <f>HLOOKUP($F$1,'管理费用'!$D$5:$V$136,16)</f>
        <v>0</v>
      </c>
      <c r="D17" s="702">
        <f>HLOOKUP($F$1,'管理费用'!$D$5:$V$136,59)</f>
        <v>0</v>
      </c>
      <c r="E17" s="703">
        <f>HLOOKUP($F$1,'管理费用'!$D$5:$V$136,102)</f>
        <v>0</v>
      </c>
      <c r="F17" s="874"/>
      <c r="G17" s="874"/>
    </row>
    <row r="18" spans="2:7" s="32" customFormat="1" ht="19.5" customHeight="1">
      <c r="B18" s="883" t="s">
        <v>401</v>
      </c>
      <c r="C18" s="704">
        <f>HLOOKUP($F$1,'管理费用'!$D$5:$V$136,17)</f>
        <v>0</v>
      </c>
      <c r="D18" s="702">
        <f>HLOOKUP($F$1,'管理费用'!$D$5:$V$136,60)</f>
        <v>0</v>
      </c>
      <c r="E18" s="703">
        <f>HLOOKUP($F$1,'管理费用'!$D$5:$V$136,103)</f>
        <v>0</v>
      </c>
      <c r="F18" s="874"/>
      <c r="G18" s="874"/>
    </row>
    <row r="19" spans="2:7" s="32" customFormat="1" ht="19.5" customHeight="1">
      <c r="B19" s="883" t="s">
        <v>402</v>
      </c>
      <c r="C19" s="704">
        <f>HLOOKUP($F$1,'管理费用'!$D$5:$V$136,18)</f>
        <v>0</v>
      </c>
      <c r="D19" s="702">
        <f>HLOOKUP($F$1,'管理费用'!$D$5:$V$136,61)</f>
        <v>0</v>
      </c>
      <c r="E19" s="703">
        <f>HLOOKUP($F$1,'管理费用'!$D$5:$V$136,104)</f>
        <v>0</v>
      </c>
      <c r="F19" s="874"/>
      <c r="G19" s="874"/>
    </row>
    <row r="20" spans="2:7" s="32" customFormat="1" ht="19.5" customHeight="1">
      <c r="B20" s="883" t="s">
        <v>24</v>
      </c>
      <c r="C20" s="704">
        <f>HLOOKUP($F$1,'管理费用'!$D$5:$V$136,19)</f>
        <v>0</v>
      </c>
      <c r="D20" s="702">
        <f>HLOOKUP($F$1,'管理费用'!$D$5:$V$136,62)</f>
        <v>0</v>
      </c>
      <c r="E20" s="703">
        <f>HLOOKUP($F$1,'管理费用'!$D$5:$V$136,105)</f>
        <v>0</v>
      </c>
      <c r="F20" s="874"/>
      <c r="G20" s="874"/>
    </row>
    <row r="21" spans="2:7" s="32" customFormat="1" ht="19.5" customHeight="1">
      <c r="B21" s="883" t="s">
        <v>403</v>
      </c>
      <c r="C21" s="704">
        <f>HLOOKUP($F$1,'管理费用'!$D$5:$V$136,20)</f>
        <v>0</v>
      </c>
      <c r="D21" s="702">
        <f>HLOOKUP($F$1,'管理费用'!$D$5:$V$136,63)</f>
        <v>0</v>
      </c>
      <c r="E21" s="703">
        <f>HLOOKUP($F$1,'管理费用'!$D$5:$V$136,106)</f>
        <v>0</v>
      </c>
      <c r="F21" s="874"/>
      <c r="G21" s="874"/>
    </row>
    <row r="22" spans="2:7" s="32" customFormat="1" ht="19.5" customHeight="1">
      <c r="B22" s="883" t="s">
        <v>404</v>
      </c>
      <c r="C22" s="704">
        <f>HLOOKUP($F$1,'管理费用'!$D$5:$V$136,21)</f>
        <v>0</v>
      </c>
      <c r="D22" s="702">
        <f>HLOOKUP($F$1,'管理费用'!$D$5:$V$136,64)</f>
        <v>0</v>
      </c>
      <c r="E22" s="703">
        <f>HLOOKUP($F$1,'管理费用'!$D$5:$V$136,107)</f>
        <v>0</v>
      </c>
      <c r="F22" s="874"/>
      <c r="G22" s="874"/>
    </row>
    <row r="23" spans="2:7" s="32" customFormat="1" ht="19.5" customHeight="1">
      <c r="B23" s="883" t="s">
        <v>405</v>
      </c>
      <c r="C23" s="704">
        <f>HLOOKUP($F$1,'管理费用'!$D$5:$V$136,22)</f>
        <v>0</v>
      </c>
      <c r="D23" s="702">
        <f>HLOOKUP($F$1,'管理费用'!$D$5:$V$136,65)</f>
        <v>0</v>
      </c>
      <c r="E23" s="703">
        <f>HLOOKUP($F$1,'管理费用'!$D$5:$V$136,108)</f>
        <v>0</v>
      </c>
      <c r="F23" s="874"/>
      <c r="G23" s="874"/>
    </row>
    <row r="24" spans="2:7" s="32" customFormat="1" ht="19.5" customHeight="1">
      <c r="B24" s="883" t="s">
        <v>406</v>
      </c>
      <c r="C24" s="704">
        <f>HLOOKUP($F$1,'管理费用'!$D$5:$V$136,23)</f>
        <v>0</v>
      </c>
      <c r="D24" s="702">
        <f>HLOOKUP($F$1,'管理费用'!$D$5:$V$136,66)</f>
        <v>0</v>
      </c>
      <c r="E24" s="703">
        <f>HLOOKUP($F$1,'管理费用'!$D$5:$V$136,109)</f>
        <v>0</v>
      </c>
      <c r="F24" s="874"/>
      <c r="G24" s="874"/>
    </row>
    <row r="25" spans="2:7" s="32" customFormat="1" ht="19.5" customHeight="1">
      <c r="B25" s="883" t="s">
        <v>456</v>
      </c>
      <c r="C25" s="704">
        <f>HLOOKUP($F$1,'管理费用'!$D$5:$V$136,24)</f>
        <v>600</v>
      </c>
      <c r="D25" s="702">
        <f>HLOOKUP($F$1,'管理费用'!$D$5:$V$136,67)</f>
        <v>600</v>
      </c>
      <c r="E25" s="703">
        <f>HLOOKUP($F$1,'管理费用'!$D$5:$V$136,110)</f>
        <v>0</v>
      </c>
      <c r="F25" s="874"/>
      <c r="G25" s="874"/>
    </row>
    <row r="26" spans="2:7" s="32" customFormat="1" ht="19.5" customHeight="1">
      <c r="B26" s="883" t="s">
        <v>407</v>
      </c>
      <c r="C26" s="704">
        <f>HLOOKUP($F$1,'管理费用'!$D$5:$V$136,25)</f>
        <v>0</v>
      </c>
      <c r="D26" s="702">
        <f>HLOOKUP($F$1,'管理费用'!$D$5:$V$136,68)</f>
        <v>0</v>
      </c>
      <c r="E26" s="703">
        <f>HLOOKUP($F$1,'管理费用'!$D$5:$V$136,111)</f>
        <v>0</v>
      </c>
      <c r="F26" s="874"/>
      <c r="G26" s="874"/>
    </row>
    <row r="27" spans="2:7" s="32" customFormat="1" ht="19.5" customHeight="1">
      <c r="B27" s="883" t="s">
        <v>32</v>
      </c>
      <c r="C27" s="704">
        <f>HLOOKUP($F$1,'管理费用'!$D$5:$V$136,26)</f>
        <v>5900</v>
      </c>
      <c r="D27" s="702">
        <f>HLOOKUP($F$1,'管理费用'!$D$5:$V$136,69)</f>
        <v>5900</v>
      </c>
      <c r="E27" s="703">
        <f>HLOOKUP($F$1,'管理费用'!$D$5:$V$136,112)</f>
        <v>0</v>
      </c>
      <c r="F27" s="874"/>
      <c r="G27" s="874"/>
    </row>
    <row r="28" spans="2:7" s="32" customFormat="1" ht="19.5" customHeight="1">
      <c r="B28" s="883" t="s">
        <v>408</v>
      </c>
      <c r="C28" s="704">
        <f>HLOOKUP($F$1,'管理费用'!$D$5:$V$136,27)</f>
        <v>0</v>
      </c>
      <c r="D28" s="702">
        <f>HLOOKUP($F$1,'管理费用'!$D$5:$V$136,70)</f>
        <v>0</v>
      </c>
      <c r="E28" s="703">
        <f>HLOOKUP($F$1,'管理费用'!$D$5:$V$136,113)</f>
        <v>0</v>
      </c>
      <c r="F28" s="874"/>
      <c r="G28" s="874"/>
    </row>
    <row r="29" spans="2:7" s="32" customFormat="1" ht="19.5" customHeight="1">
      <c r="B29" s="883" t="s">
        <v>409</v>
      </c>
      <c r="C29" s="704">
        <f>HLOOKUP($F$1,'管理费用'!$D$5:$V$136,28)</f>
        <v>0</v>
      </c>
      <c r="D29" s="702">
        <f>HLOOKUP($F$1,'管理费用'!$D$5:$V$136,71)</f>
        <v>0</v>
      </c>
      <c r="E29" s="703">
        <f>HLOOKUP($F$1,'管理费用'!$D$5:$V$136,114)</f>
        <v>0</v>
      </c>
      <c r="F29" s="874"/>
      <c r="G29" s="874"/>
    </row>
    <row r="30" spans="2:7" s="32" customFormat="1" ht="19.5" customHeight="1">
      <c r="B30" s="883" t="s">
        <v>410</v>
      </c>
      <c r="C30" s="704">
        <f>HLOOKUP($F$1,'管理费用'!$D$5:$V$136,29)</f>
        <v>0</v>
      </c>
      <c r="D30" s="702">
        <f>HLOOKUP($F$1,'管理费用'!$D$5:$V$136,72)</f>
        <v>0</v>
      </c>
      <c r="E30" s="703">
        <f>HLOOKUP($F$1,'管理费用'!$D$5:$V$136,115)</f>
        <v>0</v>
      </c>
      <c r="F30" s="874"/>
      <c r="G30" s="874"/>
    </row>
    <row r="31" spans="2:7" s="32" customFormat="1" ht="19.5" customHeight="1">
      <c r="B31" s="883" t="s">
        <v>411</v>
      </c>
      <c r="C31" s="704">
        <f>HLOOKUP($F$1,'管理费用'!$D$5:$V$136,30)</f>
        <v>0</v>
      </c>
      <c r="D31" s="702">
        <f>HLOOKUP($F$1,'管理费用'!$D$5:$V$136,73)</f>
        <v>0</v>
      </c>
      <c r="E31" s="703">
        <f>HLOOKUP($F$1,'管理费用'!$D$5:$V$136,116)</f>
        <v>0</v>
      </c>
      <c r="F31" s="874"/>
      <c r="G31" s="874"/>
    </row>
    <row r="32" spans="2:7" s="32" customFormat="1" ht="19.5" customHeight="1">
      <c r="B32" s="883" t="s">
        <v>450</v>
      </c>
      <c r="C32" s="704">
        <f>HLOOKUP($F$1,'管理费用'!$D$5:$V$136,31)</f>
        <v>0</v>
      </c>
      <c r="D32" s="702">
        <f>HLOOKUP($F$1,'管理费用'!$D$5:$V$136,74)</f>
        <v>0</v>
      </c>
      <c r="E32" s="703">
        <f>HLOOKUP($F$1,'管理费用'!$D$5:$V$136,117)</f>
        <v>0</v>
      </c>
      <c r="F32" s="874"/>
      <c r="G32" s="874"/>
    </row>
    <row r="33" spans="2:7" s="32" customFormat="1" ht="19.5" customHeight="1">
      <c r="B33" s="883" t="s">
        <v>700</v>
      </c>
      <c r="C33" s="704">
        <f>HLOOKUP($F$1,'管理费用'!$D$5:$V$136,32)</f>
        <v>0</v>
      </c>
      <c r="D33" s="702">
        <f>HLOOKUP($F$1,'管理费用'!$D$5:$V$136,75)</f>
        <v>0</v>
      </c>
      <c r="E33" s="703">
        <f>HLOOKUP($F$1,'管理费用'!$D$5:$V$136,118)</f>
        <v>0</v>
      </c>
      <c r="F33" s="874"/>
      <c r="G33" s="874"/>
    </row>
    <row r="34" spans="2:7" s="32" customFormat="1" ht="19.5" customHeight="1">
      <c r="B34" s="883" t="s">
        <v>412</v>
      </c>
      <c r="C34" s="704">
        <f>HLOOKUP($F$1,'管理费用'!$D$5:$V$136,33)</f>
        <v>0</v>
      </c>
      <c r="D34" s="702">
        <f>HLOOKUP($F$1,'管理费用'!$D$5:$V$136,76)</f>
        <v>0</v>
      </c>
      <c r="E34" s="703">
        <f>HLOOKUP($F$1,'管理费用'!$D$5:$V$136,119)</f>
        <v>0</v>
      </c>
      <c r="F34" s="874"/>
      <c r="G34" s="874"/>
    </row>
    <row r="35" spans="2:7" s="32" customFormat="1" ht="19.5" customHeight="1">
      <c r="B35" s="884" t="s">
        <v>413</v>
      </c>
      <c r="C35" s="704">
        <f>HLOOKUP($F$1,'管理费用'!$D$5:$V$136,34)</f>
        <v>0</v>
      </c>
      <c r="D35" s="702">
        <f>HLOOKUP($F$1,'管理费用'!$D$5:$V$136,77)</f>
        <v>0</v>
      </c>
      <c r="E35" s="703">
        <f>HLOOKUP($F$1,'管理费用'!$D$5:$V$136,120)</f>
        <v>0</v>
      </c>
      <c r="F35" s="874"/>
      <c r="G35" s="874"/>
    </row>
    <row r="36" spans="2:7" s="32" customFormat="1" ht="19.5" customHeight="1">
      <c r="B36" s="885" t="s">
        <v>414</v>
      </c>
      <c r="C36" s="704">
        <f>HLOOKUP($F$1,'管理费用'!$D$5:$V$136,35)</f>
        <v>0</v>
      </c>
      <c r="D36" s="702">
        <f>HLOOKUP($F$1,'管理费用'!$D$5:$V$136,78)</f>
        <v>0</v>
      </c>
      <c r="E36" s="703">
        <f>HLOOKUP($F$1,'管理费用'!$D$5:$V$136,121)</f>
        <v>0</v>
      </c>
      <c r="F36" s="874"/>
      <c r="G36" s="874"/>
    </row>
    <row r="37" spans="2:7" s="32" customFormat="1" ht="19.5" customHeight="1" thickBot="1">
      <c r="B37" s="886" t="s">
        <v>453</v>
      </c>
      <c r="C37" s="705">
        <f>SUM(C7:C36)</f>
        <v>7000</v>
      </c>
      <c r="D37" s="706">
        <f>SUM(D7:D36)</f>
        <v>7000</v>
      </c>
      <c r="E37" s="707">
        <f>HLOOKUP($F$1,'管理费用'!$D$5:$V$136,129)</f>
        <v>0</v>
      </c>
      <c r="F37" s="874"/>
      <c r="G37" s="874"/>
    </row>
    <row r="38" spans="2:7" s="500" customFormat="1" ht="13.5">
      <c r="B38" s="896"/>
      <c r="C38" s="897"/>
      <c r="D38" s="897"/>
      <c r="E38" s="898"/>
      <c r="F38" s="895"/>
      <c r="G38" s="895"/>
    </row>
    <row r="39" spans="2:7" s="500" customFormat="1" ht="13.5">
      <c r="B39" s="896"/>
      <c r="C39" s="898"/>
      <c r="D39" s="898"/>
      <c r="E39" s="898"/>
      <c r="F39" s="895"/>
      <c r="G39" s="895"/>
    </row>
    <row r="40" spans="2:7" s="500" customFormat="1" ht="13.5">
      <c r="B40" s="896"/>
      <c r="C40" s="898"/>
      <c r="D40" s="898"/>
      <c r="E40" s="898"/>
      <c r="F40" s="895"/>
      <c r="G40" s="895"/>
    </row>
    <row r="41" spans="2:7" s="500" customFormat="1" ht="13.5">
      <c r="B41" s="895"/>
      <c r="C41" s="899"/>
      <c r="D41" s="899"/>
      <c r="E41" s="899"/>
      <c r="F41" s="895"/>
      <c r="G41" s="895"/>
    </row>
    <row r="42" spans="2:7" s="500" customFormat="1" ht="13.5">
      <c r="B42" s="895"/>
      <c r="C42" s="899"/>
      <c r="D42" s="899"/>
      <c r="E42" s="899"/>
      <c r="F42" s="895"/>
      <c r="G42" s="895"/>
    </row>
    <row r="43" spans="2:7" s="500" customFormat="1" ht="13.5">
      <c r="B43" s="895"/>
      <c r="C43" s="899"/>
      <c r="D43" s="899"/>
      <c r="E43" s="899"/>
      <c r="F43" s="895"/>
      <c r="G43" s="895"/>
    </row>
    <row r="44" spans="3:5" s="500" customFormat="1" ht="13.5">
      <c r="C44" s="503"/>
      <c r="D44" s="503"/>
      <c r="E44" s="503"/>
    </row>
    <row r="45" spans="3:5" s="500" customFormat="1" ht="13.5">
      <c r="C45" s="503"/>
      <c r="D45" s="503"/>
      <c r="E45" s="503"/>
    </row>
    <row r="46" spans="3:5" s="500" customFormat="1" ht="13.5">
      <c r="C46" s="503"/>
      <c r="D46" s="503"/>
      <c r="E46" s="503"/>
    </row>
    <row r="47" spans="3:5" s="500" customFormat="1" ht="13.5">
      <c r="C47" s="503"/>
      <c r="D47" s="503"/>
      <c r="E47" s="503"/>
    </row>
    <row r="48" spans="3:5" s="500" customFormat="1" ht="13.5">
      <c r="C48" s="503"/>
      <c r="D48" s="503"/>
      <c r="E48" s="503"/>
    </row>
    <row r="49" spans="3:5" s="500" customFormat="1" ht="13.5">
      <c r="C49" s="503"/>
      <c r="D49" s="503"/>
      <c r="E49" s="503"/>
    </row>
    <row r="50" spans="3:5" s="500" customFormat="1" ht="13.5">
      <c r="C50" s="503"/>
      <c r="D50" s="503"/>
      <c r="E50" s="503"/>
    </row>
    <row r="51" spans="3:5" s="500" customFormat="1" ht="13.5">
      <c r="C51" s="503"/>
      <c r="D51" s="503"/>
      <c r="E51" s="503"/>
    </row>
    <row r="52" spans="3:5" s="500" customFormat="1" ht="13.5">
      <c r="C52" s="503"/>
      <c r="D52" s="503"/>
      <c r="E52" s="503"/>
    </row>
    <row r="53" spans="3:5" s="500" customFormat="1" ht="13.5">
      <c r="C53" s="503"/>
      <c r="D53" s="503"/>
      <c r="E53" s="503"/>
    </row>
    <row r="54" spans="3:5" s="500" customFormat="1" ht="13.5">
      <c r="C54" s="503"/>
      <c r="D54" s="503"/>
      <c r="E54" s="503"/>
    </row>
    <row r="55" spans="3:5" s="500" customFormat="1" ht="13.5">
      <c r="C55" s="503"/>
      <c r="D55" s="503"/>
      <c r="E55" s="503"/>
    </row>
    <row r="56" spans="3:5" s="500" customFormat="1" ht="13.5">
      <c r="C56" s="503"/>
      <c r="D56" s="503"/>
      <c r="E56" s="503"/>
    </row>
    <row r="57" spans="3:5" s="500" customFormat="1" ht="13.5">
      <c r="C57" s="503"/>
      <c r="D57" s="503"/>
      <c r="E57" s="503"/>
    </row>
    <row r="58" spans="3:5" s="500" customFormat="1" ht="13.5">
      <c r="C58" s="503"/>
      <c r="D58" s="503"/>
      <c r="E58" s="503"/>
    </row>
    <row r="59" spans="3:5" s="500" customFormat="1" ht="13.5">
      <c r="C59" s="503"/>
      <c r="D59" s="503"/>
      <c r="E59" s="503"/>
    </row>
    <row r="60" spans="3:5" s="500" customFormat="1" ht="13.5">
      <c r="C60" s="503"/>
      <c r="D60" s="503"/>
      <c r="E60" s="503"/>
    </row>
    <row r="61" spans="3:5" s="500" customFormat="1" ht="13.5">
      <c r="C61" s="503"/>
      <c r="D61" s="503"/>
      <c r="E61" s="503"/>
    </row>
    <row r="62" spans="3:5" s="500" customFormat="1" ht="13.5">
      <c r="C62" s="503"/>
      <c r="D62" s="503"/>
      <c r="E62" s="503"/>
    </row>
    <row r="63" spans="3:5" s="500" customFormat="1" ht="13.5">
      <c r="C63" s="503"/>
      <c r="D63" s="503"/>
      <c r="E63" s="503"/>
    </row>
    <row r="64" spans="3:5" s="500" customFormat="1" ht="13.5">
      <c r="C64" s="503"/>
      <c r="D64" s="503"/>
      <c r="E64" s="503"/>
    </row>
    <row r="65" spans="3:5" s="500" customFormat="1" ht="13.5">
      <c r="C65" s="503"/>
      <c r="D65" s="503"/>
      <c r="E65" s="503"/>
    </row>
    <row r="66" spans="3:5" s="500" customFormat="1" ht="13.5">
      <c r="C66" s="503"/>
      <c r="D66" s="503"/>
      <c r="E66" s="503"/>
    </row>
    <row r="67" spans="3:5" s="500" customFormat="1" ht="13.5">
      <c r="C67" s="503"/>
      <c r="D67" s="503"/>
      <c r="E67" s="503"/>
    </row>
    <row r="68" spans="3:5" s="500" customFormat="1" ht="13.5">
      <c r="C68" s="503"/>
      <c r="D68" s="503"/>
      <c r="E68" s="503"/>
    </row>
    <row r="69" spans="3:5" s="500" customFormat="1" ht="13.5">
      <c r="C69" s="503"/>
      <c r="D69" s="503"/>
      <c r="E69" s="503"/>
    </row>
    <row r="70" spans="3:5" s="500" customFormat="1" ht="13.5">
      <c r="C70" s="503"/>
      <c r="D70" s="503"/>
      <c r="E70" s="503"/>
    </row>
    <row r="71" spans="3:5" s="500" customFormat="1" ht="13.5">
      <c r="C71" s="503"/>
      <c r="D71" s="503"/>
      <c r="E71" s="503"/>
    </row>
    <row r="72" spans="3:5" s="500" customFormat="1" ht="13.5">
      <c r="C72" s="503"/>
      <c r="D72" s="503"/>
      <c r="E72" s="503"/>
    </row>
    <row r="73" spans="3:5" s="500" customFormat="1" ht="13.5">
      <c r="C73" s="503"/>
      <c r="D73" s="503"/>
      <c r="E73" s="503"/>
    </row>
    <row r="74" spans="3:5" s="500" customFormat="1" ht="13.5">
      <c r="C74" s="503"/>
      <c r="D74" s="503"/>
      <c r="E74" s="503"/>
    </row>
    <row r="75" spans="3:5" s="500" customFormat="1" ht="13.5">
      <c r="C75" s="503"/>
      <c r="D75" s="503"/>
      <c r="E75" s="503"/>
    </row>
    <row r="76" spans="3:5" s="500" customFormat="1" ht="13.5">
      <c r="C76" s="503"/>
      <c r="D76" s="503"/>
      <c r="E76" s="503"/>
    </row>
    <row r="77" spans="3:5" s="500" customFormat="1" ht="13.5">
      <c r="C77" s="503"/>
      <c r="D77" s="503"/>
      <c r="E77" s="503"/>
    </row>
    <row r="78" spans="3:5" s="500" customFormat="1" ht="13.5">
      <c r="C78" s="503"/>
      <c r="D78" s="503"/>
      <c r="E78" s="503"/>
    </row>
    <row r="79" spans="3:5" s="500" customFormat="1" ht="13.5">
      <c r="C79" s="503"/>
      <c r="D79" s="503"/>
      <c r="E79" s="503"/>
    </row>
    <row r="80" spans="3:5" s="500" customFormat="1" ht="13.5">
      <c r="C80" s="503"/>
      <c r="D80" s="503"/>
      <c r="E80" s="503"/>
    </row>
    <row r="81" spans="3:5" s="500" customFormat="1" ht="13.5">
      <c r="C81" s="503"/>
      <c r="D81" s="503"/>
      <c r="E81" s="503"/>
    </row>
    <row r="82" spans="3:5" s="500" customFormat="1" ht="13.5">
      <c r="C82" s="503"/>
      <c r="D82" s="503"/>
      <c r="E82" s="503"/>
    </row>
    <row r="83" spans="3:5" s="500" customFormat="1" ht="13.5">
      <c r="C83" s="503"/>
      <c r="D83" s="503"/>
      <c r="E83" s="503"/>
    </row>
    <row r="84" spans="3:5" s="500" customFormat="1" ht="13.5">
      <c r="C84" s="503"/>
      <c r="D84" s="503"/>
      <c r="E84" s="503"/>
    </row>
    <row r="85" spans="3:5" s="500" customFormat="1" ht="13.5">
      <c r="C85" s="503"/>
      <c r="D85" s="503"/>
      <c r="E85" s="503"/>
    </row>
    <row r="86" spans="3:5" s="500" customFormat="1" ht="13.5">
      <c r="C86" s="503"/>
      <c r="D86" s="503"/>
      <c r="E86" s="503"/>
    </row>
    <row r="87" spans="3:5" s="500" customFormat="1" ht="13.5">
      <c r="C87" s="503"/>
      <c r="D87" s="503"/>
      <c r="E87" s="503"/>
    </row>
    <row r="88" spans="3:5" s="500" customFormat="1" ht="13.5">
      <c r="C88" s="503"/>
      <c r="D88" s="503"/>
      <c r="E88" s="503"/>
    </row>
    <row r="89" spans="3:5" s="500" customFormat="1" ht="13.5">
      <c r="C89" s="503"/>
      <c r="D89" s="503"/>
      <c r="E89" s="503"/>
    </row>
    <row r="90" spans="3:5" s="500" customFormat="1" ht="13.5">
      <c r="C90" s="503"/>
      <c r="D90" s="503"/>
      <c r="E90" s="503"/>
    </row>
    <row r="91" spans="3:5" s="500" customFormat="1" ht="13.5">
      <c r="C91" s="503"/>
      <c r="D91" s="503"/>
      <c r="E91" s="503"/>
    </row>
    <row r="92" spans="3:5" s="500" customFormat="1" ht="13.5">
      <c r="C92" s="503"/>
      <c r="D92" s="503"/>
      <c r="E92" s="503"/>
    </row>
    <row r="93" spans="3:5" s="500" customFormat="1" ht="13.5">
      <c r="C93" s="503"/>
      <c r="D93" s="503"/>
      <c r="E93" s="503"/>
    </row>
    <row r="94" spans="3:5" s="500" customFormat="1" ht="13.5">
      <c r="C94" s="503"/>
      <c r="D94" s="503"/>
      <c r="E94" s="503"/>
    </row>
    <row r="95" spans="3:5" s="500" customFormat="1" ht="13.5">
      <c r="C95" s="503"/>
      <c r="D95" s="503"/>
      <c r="E95" s="503"/>
    </row>
    <row r="96" spans="3:5" s="500" customFormat="1" ht="13.5">
      <c r="C96" s="503"/>
      <c r="D96" s="503"/>
      <c r="E96" s="503"/>
    </row>
    <row r="97" spans="3:5" s="500" customFormat="1" ht="13.5">
      <c r="C97" s="503"/>
      <c r="D97" s="503"/>
      <c r="E97" s="503"/>
    </row>
    <row r="98" spans="3:5" s="500" customFormat="1" ht="13.5">
      <c r="C98" s="503"/>
      <c r="D98" s="503"/>
      <c r="E98" s="503"/>
    </row>
    <row r="99" spans="3:5" s="500" customFormat="1" ht="13.5">
      <c r="C99" s="503"/>
      <c r="D99" s="503"/>
      <c r="E99" s="503"/>
    </row>
    <row r="100" spans="3:5" s="500" customFormat="1" ht="13.5">
      <c r="C100" s="503"/>
      <c r="D100" s="503"/>
      <c r="E100" s="503"/>
    </row>
    <row r="101" spans="3:5" s="500" customFormat="1" ht="13.5">
      <c r="C101" s="503"/>
      <c r="D101" s="503"/>
      <c r="E101" s="503"/>
    </row>
    <row r="102" spans="3:5" s="500" customFormat="1" ht="13.5">
      <c r="C102" s="503"/>
      <c r="D102" s="503"/>
      <c r="E102" s="503"/>
    </row>
    <row r="103" spans="3:5" s="500" customFormat="1" ht="13.5">
      <c r="C103" s="503"/>
      <c r="D103" s="503"/>
      <c r="E103" s="503"/>
    </row>
    <row r="104" spans="3:5" s="500" customFormat="1" ht="13.5">
      <c r="C104" s="503"/>
      <c r="D104" s="503"/>
      <c r="E104" s="503"/>
    </row>
    <row r="105" spans="3:5" s="500" customFormat="1" ht="13.5">
      <c r="C105" s="503"/>
      <c r="D105" s="503"/>
      <c r="E105" s="503"/>
    </row>
    <row r="106" spans="3:5" s="500" customFormat="1" ht="13.5">
      <c r="C106" s="503"/>
      <c r="D106" s="503"/>
      <c r="E106" s="503"/>
    </row>
    <row r="107" spans="3:5" s="500" customFormat="1" ht="13.5">
      <c r="C107" s="503"/>
      <c r="D107" s="503"/>
      <c r="E107" s="503"/>
    </row>
    <row r="108" spans="3:5" s="500" customFormat="1" ht="13.5">
      <c r="C108" s="503"/>
      <c r="D108" s="503"/>
      <c r="E108" s="503"/>
    </row>
    <row r="109" spans="3:5" s="500" customFormat="1" ht="13.5">
      <c r="C109" s="503"/>
      <c r="D109" s="503"/>
      <c r="E109" s="503"/>
    </row>
    <row r="110" spans="3:5" s="500" customFormat="1" ht="13.5">
      <c r="C110" s="503"/>
      <c r="D110" s="503"/>
      <c r="E110" s="503"/>
    </row>
    <row r="111" spans="3:5" s="500" customFormat="1" ht="13.5">
      <c r="C111" s="503"/>
      <c r="D111" s="503"/>
      <c r="E111" s="503"/>
    </row>
    <row r="112" spans="3:5" s="500" customFormat="1" ht="13.5">
      <c r="C112" s="503"/>
      <c r="D112" s="503"/>
      <c r="E112" s="503"/>
    </row>
    <row r="113" spans="3:5" s="500" customFormat="1" ht="13.5">
      <c r="C113" s="503"/>
      <c r="D113" s="503"/>
      <c r="E113" s="503"/>
    </row>
    <row r="114" spans="3:5" s="500" customFormat="1" ht="13.5">
      <c r="C114" s="503"/>
      <c r="D114" s="503"/>
      <c r="E114" s="503"/>
    </row>
    <row r="115" spans="3:5" s="500" customFormat="1" ht="13.5">
      <c r="C115" s="503"/>
      <c r="D115" s="503"/>
      <c r="E115" s="503"/>
    </row>
    <row r="116" spans="3:5" s="500" customFormat="1" ht="13.5">
      <c r="C116" s="503"/>
      <c r="D116" s="503"/>
      <c r="E116" s="503"/>
    </row>
    <row r="117" spans="3:5" s="500" customFormat="1" ht="13.5">
      <c r="C117" s="503"/>
      <c r="D117" s="503"/>
      <c r="E117" s="503"/>
    </row>
    <row r="118" spans="3:5" s="500" customFormat="1" ht="13.5">
      <c r="C118" s="503"/>
      <c r="D118" s="503"/>
      <c r="E118" s="503"/>
    </row>
    <row r="119" spans="3:5" s="500" customFormat="1" ht="13.5">
      <c r="C119" s="503"/>
      <c r="D119" s="503"/>
      <c r="E119" s="503"/>
    </row>
    <row r="120" spans="3:5" s="500" customFormat="1" ht="13.5">
      <c r="C120" s="503"/>
      <c r="D120" s="503"/>
      <c r="E120" s="503"/>
    </row>
    <row r="121" spans="3:5" s="500" customFormat="1" ht="13.5">
      <c r="C121" s="503"/>
      <c r="D121" s="503"/>
      <c r="E121" s="503"/>
    </row>
    <row r="122" spans="3:5" s="500" customFormat="1" ht="13.5">
      <c r="C122" s="503"/>
      <c r="D122" s="503"/>
      <c r="E122" s="503"/>
    </row>
    <row r="123" spans="3:5" s="500" customFormat="1" ht="13.5">
      <c r="C123" s="503"/>
      <c r="D123" s="503"/>
      <c r="E123" s="503"/>
    </row>
    <row r="124" spans="3:5" s="500" customFormat="1" ht="13.5">
      <c r="C124" s="503"/>
      <c r="D124" s="503"/>
      <c r="E124" s="503"/>
    </row>
    <row r="125" spans="3:5" s="500" customFormat="1" ht="13.5">
      <c r="C125" s="503"/>
      <c r="D125" s="503"/>
      <c r="E125" s="503"/>
    </row>
    <row r="126" spans="3:5" s="500" customFormat="1" ht="13.5">
      <c r="C126" s="503"/>
      <c r="D126" s="503"/>
      <c r="E126" s="503"/>
    </row>
    <row r="127" spans="3:5" s="500" customFormat="1" ht="13.5">
      <c r="C127" s="503"/>
      <c r="D127" s="503"/>
      <c r="E127" s="503"/>
    </row>
    <row r="128" spans="3:5" s="500" customFormat="1" ht="13.5">
      <c r="C128" s="503"/>
      <c r="D128" s="503"/>
      <c r="E128" s="503"/>
    </row>
    <row r="129" spans="3:5" s="500" customFormat="1" ht="13.5">
      <c r="C129" s="503"/>
      <c r="D129" s="503"/>
      <c r="E129" s="503"/>
    </row>
    <row r="130" spans="3:5" s="500" customFormat="1" ht="13.5">
      <c r="C130" s="503"/>
      <c r="D130" s="503"/>
      <c r="E130" s="503"/>
    </row>
    <row r="131" spans="3:5" s="500" customFormat="1" ht="13.5">
      <c r="C131" s="503"/>
      <c r="D131" s="503"/>
      <c r="E131" s="503"/>
    </row>
    <row r="132" spans="3:5" s="500" customFormat="1" ht="13.5">
      <c r="C132" s="503"/>
      <c r="D132" s="503"/>
      <c r="E132" s="503"/>
    </row>
    <row r="133" spans="3:5" s="500" customFormat="1" ht="13.5">
      <c r="C133" s="503"/>
      <c r="D133" s="503"/>
      <c r="E133" s="503"/>
    </row>
    <row r="134" spans="3:5" s="500" customFormat="1" ht="13.5">
      <c r="C134" s="503"/>
      <c r="D134" s="503"/>
      <c r="E134" s="503"/>
    </row>
    <row r="135" spans="3:5" s="500" customFormat="1" ht="13.5">
      <c r="C135" s="503"/>
      <c r="D135" s="503"/>
      <c r="E135" s="503"/>
    </row>
    <row r="136" spans="3:5" s="500" customFormat="1" ht="13.5">
      <c r="C136" s="503"/>
      <c r="D136" s="503"/>
      <c r="E136" s="503"/>
    </row>
    <row r="137" spans="3:5" s="500" customFormat="1" ht="13.5">
      <c r="C137" s="503"/>
      <c r="D137" s="503"/>
      <c r="E137" s="503"/>
    </row>
    <row r="138" spans="3:5" s="500" customFormat="1" ht="13.5">
      <c r="C138" s="503"/>
      <c r="D138" s="503"/>
      <c r="E138" s="503"/>
    </row>
    <row r="139" spans="3:5" s="500" customFormat="1" ht="13.5">
      <c r="C139" s="503"/>
      <c r="D139" s="503"/>
      <c r="E139" s="503"/>
    </row>
    <row r="140" spans="3:5" s="500" customFormat="1" ht="13.5">
      <c r="C140" s="503"/>
      <c r="D140" s="503"/>
      <c r="E140" s="503"/>
    </row>
    <row r="141" spans="3:5" s="500" customFormat="1" ht="13.5">
      <c r="C141" s="503"/>
      <c r="D141" s="503"/>
      <c r="E141" s="503"/>
    </row>
    <row r="142" spans="3:5" s="500" customFormat="1" ht="13.5">
      <c r="C142" s="503"/>
      <c r="D142" s="503"/>
      <c r="E142" s="503"/>
    </row>
    <row r="143" spans="3:5" s="500" customFormat="1" ht="13.5">
      <c r="C143" s="503"/>
      <c r="D143" s="503"/>
      <c r="E143" s="503"/>
    </row>
    <row r="144" spans="3:5" s="500" customFormat="1" ht="13.5">
      <c r="C144" s="503"/>
      <c r="D144" s="503"/>
      <c r="E144" s="503"/>
    </row>
    <row r="145" spans="3:5" s="500" customFormat="1" ht="13.5">
      <c r="C145" s="503"/>
      <c r="D145" s="503"/>
      <c r="E145" s="503"/>
    </row>
    <row r="146" spans="3:5" s="500" customFormat="1" ht="13.5">
      <c r="C146" s="503"/>
      <c r="D146" s="503"/>
      <c r="E146" s="503"/>
    </row>
    <row r="147" spans="3:5" s="500" customFormat="1" ht="13.5">
      <c r="C147" s="503"/>
      <c r="D147" s="503"/>
      <c r="E147" s="503"/>
    </row>
    <row r="148" spans="3:5" s="500" customFormat="1" ht="13.5">
      <c r="C148" s="503"/>
      <c r="D148" s="503"/>
      <c r="E148" s="503"/>
    </row>
    <row r="149" spans="3:5" s="500" customFormat="1" ht="13.5">
      <c r="C149" s="503"/>
      <c r="D149" s="503"/>
      <c r="E149" s="503"/>
    </row>
    <row r="150" spans="3:5" s="500" customFormat="1" ht="13.5">
      <c r="C150" s="503"/>
      <c r="D150" s="503"/>
      <c r="E150" s="503"/>
    </row>
    <row r="151" spans="3:5" s="500" customFormat="1" ht="13.5">
      <c r="C151" s="503"/>
      <c r="D151" s="503"/>
      <c r="E151" s="503"/>
    </row>
    <row r="152" spans="3:5" s="500" customFormat="1" ht="13.5">
      <c r="C152" s="503"/>
      <c r="D152" s="503"/>
      <c r="E152" s="503"/>
    </row>
    <row r="153" spans="3:5" s="500" customFormat="1" ht="13.5">
      <c r="C153" s="503"/>
      <c r="D153" s="503"/>
      <c r="E153" s="503"/>
    </row>
    <row r="154" spans="3:5" s="500" customFormat="1" ht="13.5">
      <c r="C154" s="503"/>
      <c r="D154" s="503"/>
      <c r="E154" s="503"/>
    </row>
    <row r="155" spans="3:5" s="500" customFormat="1" ht="13.5">
      <c r="C155" s="503"/>
      <c r="D155" s="503"/>
      <c r="E155" s="503"/>
    </row>
    <row r="156" spans="3:5" s="500" customFormat="1" ht="13.5">
      <c r="C156" s="503"/>
      <c r="D156" s="503"/>
      <c r="E156" s="503"/>
    </row>
    <row r="157" spans="3:5" s="500" customFormat="1" ht="13.5">
      <c r="C157" s="503"/>
      <c r="D157" s="503"/>
      <c r="E157" s="503"/>
    </row>
    <row r="158" spans="3:5" s="500" customFormat="1" ht="13.5">
      <c r="C158" s="503"/>
      <c r="D158" s="503"/>
      <c r="E158" s="503"/>
    </row>
    <row r="159" spans="3:5" s="500" customFormat="1" ht="13.5">
      <c r="C159" s="503"/>
      <c r="D159" s="503"/>
      <c r="E159" s="503"/>
    </row>
    <row r="160" spans="3:5" s="500" customFormat="1" ht="13.5">
      <c r="C160" s="503"/>
      <c r="D160" s="503"/>
      <c r="E160" s="503"/>
    </row>
    <row r="161" spans="3:5" s="500" customFormat="1" ht="13.5">
      <c r="C161" s="503"/>
      <c r="D161" s="503"/>
      <c r="E161" s="503"/>
    </row>
    <row r="162" spans="3:5" s="500" customFormat="1" ht="13.5">
      <c r="C162" s="503"/>
      <c r="D162" s="503"/>
      <c r="E162" s="503"/>
    </row>
    <row r="163" spans="3:5" s="500" customFormat="1" ht="13.5">
      <c r="C163" s="503"/>
      <c r="D163" s="503"/>
      <c r="E163" s="503"/>
    </row>
    <row r="164" spans="3:5" s="500" customFormat="1" ht="13.5">
      <c r="C164" s="503"/>
      <c r="D164" s="503"/>
      <c r="E164" s="503"/>
    </row>
    <row r="165" spans="3:5" s="500" customFormat="1" ht="13.5">
      <c r="C165" s="503"/>
      <c r="D165" s="503"/>
      <c r="E165" s="503"/>
    </row>
    <row r="166" spans="3:5" s="500" customFormat="1" ht="13.5">
      <c r="C166" s="503"/>
      <c r="D166" s="503"/>
      <c r="E166" s="503"/>
    </row>
    <row r="167" spans="3:5" s="500" customFormat="1" ht="13.5">
      <c r="C167" s="503"/>
      <c r="D167" s="503"/>
      <c r="E167" s="503"/>
    </row>
    <row r="168" spans="3:5" s="500" customFormat="1" ht="13.5">
      <c r="C168" s="503"/>
      <c r="D168" s="503"/>
      <c r="E168" s="503"/>
    </row>
    <row r="169" spans="3:5" s="500" customFormat="1" ht="13.5">
      <c r="C169" s="503"/>
      <c r="D169" s="503"/>
      <c r="E169" s="503"/>
    </row>
    <row r="170" spans="3:5" s="500" customFormat="1" ht="13.5">
      <c r="C170" s="503"/>
      <c r="D170" s="503"/>
      <c r="E170" s="503"/>
    </row>
    <row r="171" spans="3:5" s="500" customFormat="1" ht="13.5">
      <c r="C171" s="503"/>
      <c r="D171" s="503"/>
      <c r="E171" s="503"/>
    </row>
    <row r="172" spans="3:5" s="500" customFormat="1" ht="13.5">
      <c r="C172" s="503"/>
      <c r="D172" s="503"/>
      <c r="E172" s="503"/>
    </row>
    <row r="173" spans="3:5" s="500" customFormat="1" ht="13.5">
      <c r="C173" s="503"/>
      <c r="D173" s="503"/>
      <c r="E173" s="503"/>
    </row>
    <row r="174" spans="3:5" s="500" customFormat="1" ht="13.5">
      <c r="C174" s="503"/>
      <c r="D174" s="503"/>
      <c r="E174" s="503"/>
    </row>
    <row r="175" spans="3:5" s="500" customFormat="1" ht="13.5">
      <c r="C175" s="503"/>
      <c r="D175" s="503"/>
      <c r="E175" s="503"/>
    </row>
    <row r="176" spans="3:5" s="500" customFormat="1" ht="13.5">
      <c r="C176" s="503"/>
      <c r="D176" s="503"/>
      <c r="E176" s="503"/>
    </row>
    <row r="177" spans="3:5" s="500" customFormat="1" ht="13.5">
      <c r="C177" s="503"/>
      <c r="D177" s="503"/>
      <c r="E177" s="503"/>
    </row>
    <row r="178" spans="3:5" s="500" customFormat="1" ht="13.5">
      <c r="C178" s="503"/>
      <c r="D178" s="503"/>
      <c r="E178" s="503"/>
    </row>
    <row r="179" spans="3:5" s="500" customFormat="1" ht="13.5">
      <c r="C179" s="503"/>
      <c r="D179" s="503"/>
      <c r="E179" s="503"/>
    </row>
    <row r="180" spans="3:5" s="500" customFormat="1" ht="13.5">
      <c r="C180" s="503"/>
      <c r="D180" s="503"/>
      <c r="E180" s="503"/>
    </row>
    <row r="181" spans="3:5" s="500" customFormat="1" ht="13.5">
      <c r="C181" s="503"/>
      <c r="D181" s="503"/>
      <c r="E181" s="503"/>
    </row>
    <row r="182" spans="3:5" s="500" customFormat="1" ht="13.5">
      <c r="C182" s="503"/>
      <c r="D182" s="503"/>
      <c r="E182" s="503"/>
    </row>
    <row r="183" spans="3:5" s="500" customFormat="1" ht="13.5">
      <c r="C183" s="503"/>
      <c r="D183" s="503"/>
      <c r="E183" s="503"/>
    </row>
    <row r="184" spans="3:5" s="500" customFormat="1" ht="13.5">
      <c r="C184" s="503"/>
      <c r="D184" s="503"/>
      <c r="E184" s="503"/>
    </row>
    <row r="185" spans="3:5" s="500" customFormat="1" ht="13.5">
      <c r="C185" s="503"/>
      <c r="D185" s="503"/>
      <c r="E185" s="503"/>
    </row>
    <row r="186" spans="3:5" s="500" customFormat="1" ht="13.5">
      <c r="C186" s="503"/>
      <c r="D186" s="503"/>
      <c r="E186" s="503"/>
    </row>
    <row r="187" spans="3:5" s="500" customFormat="1" ht="13.5">
      <c r="C187" s="503"/>
      <c r="D187" s="503"/>
      <c r="E187" s="503"/>
    </row>
    <row r="188" spans="3:5" s="500" customFormat="1" ht="13.5">
      <c r="C188" s="503"/>
      <c r="D188" s="503"/>
      <c r="E188" s="503"/>
    </row>
    <row r="189" spans="3:5" s="500" customFormat="1" ht="13.5">
      <c r="C189" s="503"/>
      <c r="D189" s="503"/>
      <c r="E189" s="503"/>
    </row>
    <row r="190" spans="3:5" s="500" customFormat="1" ht="13.5">
      <c r="C190" s="503"/>
      <c r="D190" s="503"/>
      <c r="E190" s="503"/>
    </row>
    <row r="191" spans="3:5" s="500" customFormat="1" ht="13.5">
      <c r="C191" s="503"/>
      <c r="D191" s="503"/>
      <c r="E191" s="503"/>
    </row>
    <row r="192" spans="3:5" s="500" customFormat="1" ht="13.5">
      <c r="C192" s="503"/>
      <c r="D192" s="503"/>
      <c r="E192" s="503"/>
    </row>
    <row r="193" spans="3:5" s="500" customFormat="1" ht="13.5">
      <c r="C193" s="503"/>
      <c r="D193" s="503"/>
      <c r="E193" s="503"/>
    </row>
    <row r="194" spans="3:5" s="500" customFormat="1" ht="13.5">
      <c r="C194" s="503"/>
      <c r="D194" s="503"/>
      <c r="E194" s="503"/>
    </row>
    <row r="195" spans="3:5" s="500" customFormat="1" ht="13.5">
      <c r="C195" s="503"/>
      <c r="D195" s="503"/>
      <c r="E195" s="503"/>
    </row>
    <row r="196" spans="3:5" s="500" customFormat="1" ht="13.5">
      <c r="C196" s="503"/>
      <c r="D196" s="503"/>
      <c r="E196" s="503"/>
    </row>
    <row r="197" spans="3:5" s="500" customFormat="1" ht="13.5">
      <c r="C197" s="503"/>
      <c r="D197" s="503"/>
      <c r="E197" s="503"/>
    </row>
    <row r="198" spans="3:5" s="500" customFormat="1" ht="13.5">
      <c r="C198" s="503"/>
      <c r="D198" s="503"/>
      <c r="E198" s="503"/>
    </row>
    <row r="199" spans="3:5" s="500" customFormat="1" ht="13.5">
      <c r="C199" s="503"/>
      <c r="D199" s="503"/>
      <c r="E199" s="503"/>
    </row>
    <row r="200" spans="3:5" s="500" customFormat="1" ht="13.5">
      <c r="C200" s="503"/>
      <c r="D200" s="503"/>
      <c r="E200" s="503"/>
    </row>
    <row r="201" spans="3:5" s="500" customFormat="1" ht="13.5">
      <c r="C201" s="503"/>
      <c r="D201" s="503"/>
      <c r="E201" s="503"/>
    </row>
    <row r="202" spans="3:5" s="500" customFormat="1" ht="13.5">
      <c r="C202" s="503"/>
      <c r="D202" s="503"/>
      <c r="E202" s="503"/>
    </row>
    <row r="203" spans="3:5" s="500" customFormat="1" ht="13.5">
      <c r="C203" s="503"/>
      <c r="D203" s="503"/>
      <c r="E203" s="503"/>
    </row>
    <row r="204" spans="3:5" s="500" customFormat="1" ht="13.5">
      <c r="C204" s="503"/>
      <c r="D204" s="503"/>
      <c r="E204" s="503"/>
    </row>
    <row r="205" spans="3:5" s="500" customFormat="1" ht="13.5">
      <c r="C205" s="503"/>
      <c r="D205" s="503"/>
      <c r="E205" s="503"/>
    </row>
    <row r="206" spans="3:5" s="500" customFormat="1" ht="13.5">
      <c r="C206" s="503"/>
      <c r="D206" s="503"/>
      <c r="E206" s="503"/>
    </row>
    <row r="207" spans="3:5" s="500" customFormat="1" ht="13.5">
      <c r="C207" s="503"/>
      <c r="D207" s="503"/>
      <c r="E207" s="503"/>
    </row>
    <row r="208" spans="3:5" s="500" customFormat="1" ht="13.5">
      <c r="C208" s="503"/>
      <c r="D208" s="503"/>
      <c r="E208" s="503"/>
    </row>
    <row r="209" spans="3:5" s="500" customFormat="1" ht="13.5">
      <c r="C209" s="503"/>
      <c r="D209" s="503"/>
      <c r="E209" s="503"/>
    </row>
    <row r="210" spans="3:5" s="500" customFormat="1" ht="13.5">
      <c r="C210" s="503"/>
      <c r="D210" s="503"/>
      <c r="E210" s="503"/>
    </row>
    <row r="211" spans="3:5" s="500" customFormat="1" ht="13.5">
      <c r="C211" s="503"/>
      <c r="D211" s="503"/>
      <c r="E211" s="503"/>
    </row>
    <row r="212" spans="3:5" s="500" customFormat="1" ht="13.5">
      <c r="C212" s="503"/>
      <c r="D212" s="503"/>
      <c r="E212" s="503"/>
    </row>
    <row r="213" spans="3:5" s="500" customFormat="1" ht="13.5">
      <c r="C213" s="503"/>
      <c r="D213" s="503"/>
      <c r="E213" s="503"/>
    </row>
    <row r="214" spans="3:5" s="500" customFormat="1" ht="13.5">
      <c r="C214" s="503"/>
      <c r="D214" s="503"/>
      <c r="E214" s="503"/>
    </row>
    <row r="215" spans="3:5" s="500" customFormat="1" ht="13.5">
      <c r="C215" s="503"/>
      <c r="D215" s="503"/>
      <c r="E215" s="503"/>
    </row>
    <row r="216" spans="3:5" s="500" customFormat="1" ht="13.5">
      <c r="C216" s="503"/>
      <c r="D216" s="503"/>
      <c r="E216" s="503"/>
    </row>
    <row r="217" spans="3:5" s="500" customFormat="1" ht="13.5">
      <c r="C217" s="503"/>
      <c r="D217" s="503"/>
      <c r="E217" s="503"/>
    </row>
    <row r="218" spans="3:5" s="500" customFormat="1" ht="13.5">
      <c r="C218" s="503"/>
      <c r="D218" s="503"/>
      <c r="E218" s="503"/>
    </row>
    <row r="219" spans="3:5" s="500" customFormat="1" ht="13.5">
      <c r="C219" s="503"/>
      <c r="D219" s="503"/>
      <c r="E219" s="503"/>
    </row>
    <row r="220" spans="3:5" s="500" customFormat="1" ht="13.5">
      <c r="C220" s="503"/>
      <c r="D220" s="503"/>
      <c r="E220" s="503"/>
    </row>
    <row r="221" spans="3:5" s="500" customFormat="1" ht="13.5">
      <c r="C221" s="503"/>
      <c r="D221" s="503"/>
      <c r="E221" s="503"/>
    </row>
    <row r="222" spans="3:5" s="500" customFormat="1" ht="13.5">
      <c r="C222" s="503"/>
      <c r="D222" s="503"/>
      <c r="E222" s="503"/>
    </row>
    <row r="223" spans="3:5" s="500" customFormat="1" ht="13.5">
      <c r="C223" s="503"/>
      <c r="D223" s="503"/>
      <c r="E223" s="503"/>
    </row>
    <row r="224" spans="3:5" s="500" customFormat="1" ht="13.5">
      <c r="C224" s="503"/>
      <c r="D224" s="503"/>
      <c r="E224" s="503"/>
    </row>
    <row r="225" spans="3:5" s="500" customFormat="1" ht="13.5">
      <c r="C225" s="503"/>
      <c r="D225" s="503"/>
      <c r="E225" s="503"/>
    </row>
    <row r="226" spans="3:5" s="500" customFormat="1" ht="13.5">
      <c r="C226" s="503"/>
      <c r="D226" s="503"/>
      <c r="E226" s="503"/>
    </row>
    <row r="227" spans="3:5" s="500" customFormat="1" ht="13.5">
      <c r="C227" s="503"/>
      <c r="D227" s="503"/>
      <c r="E227" s="503"/>
    </row>
    <row r="228" spans="3:5" s="500" customFormat="1" ht="13.5">
      <c r="C228" s="503"/>
      <c r="D228" s="503"/>
      <c r="E228" s="503"/>
    </row>
    <row r="229" spans="3:5" s="500" customFormat="1" ht="13.5">
      <c r="C229" s="503"/>
      <c r="D229" s="503"/>
      <c r="E229" s="503"/>
    </row>
    <row r="230" spans="3:5" s="500" customFormat="1" ht="13.5">
      <c r="C230" s="503"/>
      <c r="D230" s="503"/>
      <c r="E230" s="503"/>
    </row>
    <row r="231" spans="3:5" s="500" customFormat="1" ht="13.5">
      <c r="C231" s="503"/>
      <c r="D231" s="503"/>
      <c r="E231" s="503"/>
    </row>
    <row r="232" spans="3:5" s="500" customFormat="1" ht="13.5">
      <c r="C232" s="503"/>
      <c r="D232" s="503"/>
      <c r="E232" s="503"/>
    </row>
    <row r="233" spans="3:5" s="500" customFormat="1" ht="13.5">
      <c r="C233" s="503"/>
      <c r="D233" s="503"/>
      <c r="E233" s="503"/>
    </row>
    <row r="234" spans="3:5" s="500" customFormat="1" ht="13.5">
      <c r="C234" s="503"/>
      <c r="D234" s="503"/>
      <c r="E234" s="503"/>
    </row>
    <row r="235" spans="3:5" s="500" customFormat="1" ht="13.5">
      <c r="C235" s="503"/>
      <c r="D235" s="503"/>
      <c r="E235" s="503"/>
    </row>
    <row r="236" spans="3:5" s="500" customFormat="1" ht="13.5">
      <c r="C236" s="503"/>
      <c r="D236" s="503"/>
      <c r="E236" s="503"/>
    </row>
    <row r="237" spans="3:5" s="500" customFormat="1" ht="13.5">
      <c r="C237" s="503"/>
      <c r="D237" s="503"/>
      <c r="E237" s="503"/>
    </row>
    <row r="238" spans="3:5" s="500" customFormat="1" ht="13.5">
      <c r="C238" s="503"/>
      <c r="D238" s="503"/>
      <c r="E238" s="503"/>
    </row>
    <row r="239" spans="3:5" s="500" customFormat="1" ht="13.5">
      <c r="C239" s="503"/>
      <c r="D239" s="503"/>
      <c r="E239" s="503"/>
    </row>
    <row r="240" spans="3:5" s="500" customFormat="1" ht="13.5">
      <c r="C240" s="503"/>
      <c r="D240" s="503"/>
      <c r="E240" s="503"/>
    </row>
    <row r="241" spans="3:5" s="500" customFormat="1" ht="13.5">
      <c r="C241" s="503"/>
      <c r="D241" s="503"/>
      <c r="E241" s="503"/>
    </row>
    <row r="242" spans="3:5" s="500" customFormat="1" ht="13.5">
      <c r="C242" s="503"/>
      <c r="D242" s="503"/>
      <c r="E242" s="503"/>
    </row>
    <row r="243" spans="3:5" s="500" customFormat="1" ht="13.5">
      <c r="C243" s="503"/>
      <c r="D243" s="503"/>
      <c r="E243" s="503"/>
    </row>
    <row r="244" spans="3:5" s="500" customFormat="1" ht="13.5">
      <c r="C244" s="503"/>
      <c r="D244" s="503"/>
      <c r="E244" s="503"/>
    </row>
    <row r="245" spans="3:5" s="500" customFormat="1" ht="13.5">
      <c r="C245" s="503"/>
      <c r="D245" s="503"/>
      <c r="E245" s="503"/>
    </row>
    <row r="246" spans="3:5" s="500" customFormat="1" ht="13.5">
      <c r="C246" s="503"/>
      <c r="D246" s="503"/>
      <c r="E246" s="503"/>
    </row>
    <row r="247" spans="3:5" s="500" customFormat="1" ht="13.5">
      <c r="C247" s="503"/>
      <c r="D247" s="503"/>
      <c r="E247" s="503"/>
    </row>
    <row r="248" spans="3:5" s="500" customFormat="1" ht="13.5">
      <c r="C248" s="503"/>
      <c r="D248" s="503"/>
      <c r="E248" s="503"/>
    </row>
    <row r="249" spans="3:5" s="500" customFormat="1" ht="13.5">
      <c r="C249" s="503"/>
      <c r="D249" s="503"/>
      <c r="E249" s="503"/>
    </row>
    <row r="250" spans="3:5" s="500" customFormat="1" ht="13.5">
      <c r="C250" s="503"/>
      <c r="D250" s="503"/>
      <c r="E250" s="503"/>
    </row>
    <row r="251" spans="3:5" s="500" customFormat="1" ht="13.5">
      <c r="C251" s="503"/>
      <c r="D251" s="503"/>
      <c r="E251" s="503"/>
    </row>
    <row r="252" spans="3:5" s="500" customFormat="1" ht="13.5">
      <c r="C252" s="503"/>
      <c r="D252" s="503"/>
      <c r="E252" s="503"/>
    </row>
    <row r="253" spans="3:5" s="500" customFormat="1" ht="13.5">
      <c r="C253" s="503"/>
      <c r="D253" s="503"/>
      <c r="E253" s="503"/>
    </row>
    <row r="254" spans="3:5" s="500" customFormat="1" ht="13.5">
      <c r="C254" s="503"/>
      <c r="D254" s="503"/>
      <c r="E254" s="503"/>
    </row>
    <row r="255" spans="3:5" s="500" customFormat="1" ht="13.5">
      <c r="C255" s="503"/>
      <c r="D255" s="503"/>
      <c r="E255" s="503"/>
    </row>
    <row r="256" spans="3:5" s="500" customFormat="1" ht="13.5">
      <c r="C256" s="503"/>
      <c r="D256" s="503"/>
      <c r="E256" s="503"/>
    </row>
    <row r="257" spans="3:5" s="500" customFormat="1" ht="13.5">
      <c r="C257" s="503"/>
      <c r="D257" s="503"/>
      <c r="E257" s="503"/>
    </row>
    <row r="258" spans="3:5" s="500" customFormat="1" ht="13.5">
      <c r="C258" s="503"/>
      <c r="D258" s="503"/>
      <c r="E258" s="503"/>
    </row>
    <row r="259" spans="3:5" s="500" customFormat="1" ht="13.5">
      <c r="C259" s="503"/>
      <c r="D259" s="503"/>
      <c r="E259" s="503"/>
    </row>
    <row r="260" spans="3:5" s="500" customFormat="1" ht="13.5">
      <c r="C260" s="503"/>
      <c r="D260" s="503"/>
      <c r="E260" s="503"/>
    </row>
    <row r="261" spans="3:5" s="500" customFormat="1" ht="13.5">
      <c r="C261" s="503"/>
      <c r="D261" s="503"/>
      <c r="E261" s="503"/>
    </row>
    <row r="262" spans="3:5" s="500" customFormat="1" ht="13.5">
      <c r="C262" s="503"/>
      <c r="D262" s="503"/>
      <c r="E262" s="503"/>
    </row>
    <row r="263" spans="3:5" s="500" customFormat="1" ht="13.5">
      <c r="C263" s="503"/>
      <c r="D263" s="503"/>
      <c r="E263" s="503"/>
    </row>
    <row r="264" spans="3:5" s="500" customFormat="1" ht="13.5">
      <c r="C264" s="503"/>
      <c r="D264" s="503"/>
      <c r="E264" s="503"/>
    </row>
    <row r="265" spans="3:5" s="500" customFormat="1" ht="13.5">
      <c r="C265" s="503"/>
      <c r="D265" s="503"/>
      <c r="E265" s="503"/>
    </row>
    <row r="266" spans="3:5" s="500" customFormat="1" ht="13.5">
      <c r="C266" s="503"/>
      <c r="D266" s="503"/>
      <c r="E266" s="503"/>
    </row>
    <row r="267" spans="3:5" s="500" customFormat="1" ht="13.5">
      <c r="C267" s="503"/>
      <c r="D267" s="503"/>
      <c r="E267" s="503"/>
    </row>
    <row r="268" spans="3:5" s="500" customFormat="1" ht="13.5">
      <c r="C268" s="503"/>
      <c r="D268" s="503"/>
      <c r="E268" s="503"/>
    </row>
    <row r="269" spans="3:5" s="500" customFormat="1" ht="13.5">
      <c r="C269" s="503"/>
      <c r="D269" s="503"/>
      <c r="E269" s="503"/>
    </row>
    <row r="270" spans="3:5" s="500" customFormat="1" ht="13.5">
      <c r="C270" s="503"/>
      <c r="D270" s="503"/>
      <c r="E270" s="503"/>
    </row>
    <row r="271" spans="3:5" s="500" customFormat="1" ht="13.5">
      <c r="C271" s="503"/>
      <c r="D271" s="503"/>
      <c r="E271" s="503"/>
    </row>
    <row r="272" spans="3:5" s="500" customFormat="1" ht="13.5">
      <c r="C272" s="503"/>
      <c r="D272" s="503"/>
      <c r="E272" s="503"/>
    </row>
    <row r="273" spans="3:5" s="500" customFormat="1" ht="13.5">
      <c r="C273" s="503"/>
      <c r="D273" s="503"/>
      <c r="E273" s="503"/>
    </row>
    <row r="274" spans="3:5" s="500" customFormat="1" ht="13.5">
      <c r="C274" s="503"/>
      <c r="D274" s="503"/>
      <c r="E274" s="503"/>
    </row>
    <row r="275" spans="3:5" s="500" customFormat="1" ht="13.5">
      <c r="C275" s="503"/>
      <c r="D275" s="503"/>
      <c r="E275" s="503"/>
    </row>
    <row r="276" spans="3:5" s="500" customFormat="1" ht="13.5">
      <c r="C276" s="503"/>
      <c r="D276" s="503"/>
      <c r="E276" s="503"/>
    </row>
    <row r="277" spans="3:5" s="500" customFormat="1" ht="13.5">
      <c r="C277" s="503"/>
      <c r="D277" s="503"/>
      <c r="E277" s="503"/>
    </row>
    <row r="278" spans="3:5" s="500" customFormat="1" ht="13.5">
      <c r="C278" s="503"/>
      <c r="D278" s="503"/>
      <c r="E278" s="503"/>
    </row>
    <row r="279" spans="3:5" s="500" customFormat="1" ht="13.5">
      <c r="C279" s="503"/>
      <c r="D279" s="503"/>
      <c r="E279" s="503"/>
    </row>
    <row r="280" spans="3:5" s="500" customFormat="1" ht="13.5">
      <c r="C280" s="503"/>
      <c r="D280" s="503"/>
      <c r="E280" s="503"/>
    </row>
    <row r="281" spans="3:5" s="500" customFormat="1" ht="13.5">
      <c r="C281" s="503"/>
      <c r="D281" s="503"/>
      <c r="E281" s="503"/>
    </row>
    <row r="282" spans="3:5" s="500" customFormat="1" ht="13.5">
      <c r="C282" s="503"/>
      <c r="D282" s="503"/>
      <c r="E282" s="503"/>
    </row>
    <row r="283" spans="3:5" s="500" customFormat="1" ht="13.5">
      <c r="C283" s="503"/>
      <c r="D283" s="503"/>
      <c r="E283" s="503"/>
    </row>
    <row r="284" spans="3:5" s="500" customFormat="1" ht="13.5">
      <c r="C284" s="503"/>
      <c r="D284" s="503"/>
      <c r="E284" s="503"/>
    </row>
    <row r="285" spans="3:5" s="500" customFormat="1" ht="13.5">
      <c r="C285" s="503"/>
      <c r="D285" s="503"/>
      <c r="E285" s="503"/>
    </row>
    <row r="286" spans="3:5" s="500" customFormat="1" ht="13.5">
      <c r="C286" s="503"/>
      <c r="D286" s="503"/>
      <c r="E286" s="503"/>
    </row>
    <row r="287" spans="3:5" s="500" customFormat="1" ht="13.5">
      <c r="C287" s="503"/>
      <c r="D287" s="503"/>
      <c r="E287" s="503"/>
    </row>
    <row r="288" spans="3:5" s="500" customFormat="1" ht="13.5">
      <c r="C288" s="503"/>
      <c r="D288" s="503"/>
      <c r="E288" s="503"/>
    </row>
    <row r="289" spans="3:5" s="500" customFormat="1" ht="13.5">
      <c r="C289" s="503"/>
      <c r="D289" s="503"/>
      <c r="E289" s="503"/>
    </row>
    <row r="290" spans="3:5" s="500" customFormat="1" ht="13.5">
      <c r="C290" s="503"/>
      <c r="D290" s="503"/>
      <c r="E290" s="503"/>
    </row>
    <row r="291" spans="3:5" s="500" customFormat="1" ht="13.5">
      <c r="C291" s="503"/>
      <c r="D291" s="503"/>
      <c r="E291" s="503"/>
    </row>
    <row r="292" spans="3:5" s="500" customFormat="1" ht="13.5">
      <c r="C292" s="503"/>
      <c r="D292" s="503"/>
      <c r="E292" s="503"/>
    </row>
    <row r="293" spans="3:5" s="500" customFormat="1" ht="13.5">
      <c r="C293" s="503"/>
      <c r="D293" s="503"/>
      <c r="E293" s="503"/>
    </row>
    <row r="294" spans="3:5" s="500" customFormat="1" ht="13.5">
      <c r="C294" s="503"/>
      <c r="D294" s="503"/>
      <c r="E294" s="503"/>
    </row>
    <row r="295" spans="3:5" s="500" customFormat="1" ht="13.5">
      <c r="C295" s="503"/>
      <c r="D295" s="503"/>
      <c r="E295" s="503"/>
    </row>
    <row r="296" spans="3:5" s="500" customFormat="1" ht="13.5">
      <c r="C296" s="503"/>
      <c r="D296" s="503"/>
      <c r="E296" s="503"/>
    </row>
    <row r="297" spans="3:5" s="500" customFormat="1" ht="13.5">
      <c r="C297" s="503"/>
      <c r="D297" s="503"/>
      <c r="E297" s="503"/>
    </row>
    <row r="298" spans="3:5" s="500" customFormat="1" ht="13.5">
      <c r="C298" s="503"/>
      <c r="D298" s="503"/>
      <c r="E298" s="503"/>
    </row>
    <row r="299" spans="3:5" s="500" customFormat="1" ht="13.5">
      <c r="C299" s="503"/>
      <c r="D299" s="503"/>
      <c r="E299" s="503"/>
    </row>
    <row r="300" spans="3:5" s="500" customFormat="1" ht="13.5">
      <c r="C300" s="503"/>
      <c r="D300" s="503"/>
      <c r="E300" s="503"/>
    </row>
    <row r="301" spans="3:5" s="500" customFormat="1" ht="13.5">
      <c r="C301" s="503"/>
      <c r="D301" s="503"/>
      <c r="E301" s="503"/>
    </row>
    <row r="302" spans="3:5" s="500" customFormat="1" ht="13.5">
      <c r="C302" s="503"/>
      <c r="D302" s="503"/>
      <c r="E302" s="503"/>
    </row>
    <row r="303" spans="3:5" s="500" customFormat="1" ht="13.5">
      <c r="C303" s="503"/>
      <c r="D303" s="503"/>
      <c r="E303" s="503"/>
    </row>
    <row r="304" spans="3:5" s="500" customFormat="1" ht="13.5">
      <c r="C304" s="503"/>
      <c r="D304" s="503"/>
      <c r="E304" s="503"/>
    </row>
    <row r="305" spans="3:5" s="500" customFormat="1" ht="13.5">
      <c r="C305" s="503"/>
      <c r="D305" s="503"/>
      <c r="E305" s="503"/>
    </row>
    <row r="306" spans="3:5" s="500" customFormat="1" ht="13.5">
      <c r="C306" s="503"/>
      <c r="D306" s="503"/>
      <c r="E306" s="503"/>
    </row>
    <row r="307" spans="3:5" s="500" customFormat="1" ht="13.5">
      <c r="C307" s="503"/>
      <c r="D307" s="503"/>
      <c r="E307" s="503"/>
    </row>
    <row r="308" spans="3:5" s="500" customFormat="1" ht="13.5">
      <c r="C308" s="503"/>
      <c r="D308" s="503"/>
      <c r="E308" s="503"/>
    </row>
    <row r="309" spans="3:5" s="500" customFormat="1" ht="13.5">
      <c r="C309" s="503"/>
      <c r="D309" s="503"/>
      <c r="E309" s="503"/>
    </row>
    <row r="310" spans="3:5" s="500" customFormat="1" ht="13.5">
      <c r="C310" s="503"/>
      <c r="D310" s="503"/>
      <c r="E310" s="503"/>
    </row>
    <row r="311" spans="3:5" s="500" customFormat="1" ht="13.5">
      <c r="C311" s="503"/>
      <c r="D311" s="503"/>
      <c r="E311" s="503"/>
    </row>
    <row r="312" spans="3:5" s="500" customFormat="1" ht="13.5">
      <c r="C312" s="503"/>
      <c r="D312" s="503"/>
      <c r="E312" s="503"/>
    </row>
    <row r="313" spans="3:5" s="500" customFormat="1" ht="13.5">
      <c r="C313" s="503"/>
      <c r="D313" s="503"/>
      <c r="E313" s="503"/>
    </row>
    <row r="314" spans="3:5" s="500" customFormat="1" ht="13.5">
      <c r="C314" s="503"/>
      <c r="D314" s="503"/>
      <c r="E314" s="503"/>
    </row>
    <row r="315" spans="3:5" s="500" customFormat="1" ht="13.5">
      <c r="C315" s="503"/>
      <c r="D315" s="503"/>
      <c r="E315" s="503"/>
    </row>
    <row r="316" spans="3:5" s="500" customFormat="1" ht="13.5">
      <c r="C316" s="503"/>
      <c r="D316" s="503"/>
      <c r="E316" s="503"/>
    </row>
    <row r="317" spans="3:5" s="500" customFormat="1" ht="13.5">
      <c r="C317" s="503"/>
      <c r="D317" s="503"/>
      <c r="E317" s="503"/>
    </row>
    <row r="318" spans="3:5" s="500" customFormat="1" ht="13.5">
      <c r="C318" s="503"/>
      <c r="D318" s="503"/>
      <c r="E318" s="503"/>
    </row>
    <row r="319" spans="3:5" s="500" customFormat="1" ht="13.5">
      <c r="C319" s="503"/>
      <c r="D319" s="503"/>
      <c r="E319" s="503"/>
    </row>
    <row r="320" spans="3:5" s="500" customFormat="1" ht="13.5">
      <c r="C320" s="503"/>
      <c r="D320" s="503"/>
      <c r="E320" s="503"/>
    </row>
    <row r="321" spans="3:5" s="500" customFormat="1" ht="13.5">
      <c r="C321" s="503"/>
      <c r="D321" s="503"/>
      <c r="E321" s="503"/>
    </row>
    <row r="322" spans="3:5" s="500" customFormat="1" ht="13.5">
      <c r="C322" s="503"/>
      <c r="D322" s="503"/>
      <c r="E322" s="503"/>
    </row>
    <row r="323" spans="3:5" s="500" customFormat="1" ht="13.5">
      <c r="C323" s="503"/>
      <c r="D323" s="503"/>
      <c r="E323" s="503"/>
    </row>
    <row r="324" spans="3:5" s="500" customFormat="1" ht="13.5">
      <c r="C324" s="503"/>
      <c r="D324" s="503"/>
      <c r="E324" s="503"/>
    </row>
    <row r="325" spans="3:5" s="500" customFormat="1" ht="13.5">
      <c r="C325" s="503"/>
      <c r="D325" s="503"/>
      <c r="E325" s="503"/>
    </row>
    <row r="326" spans="3:5" s="500" customFormat="1" ht="13.5">
      <c r="C326" s="503"/>
      <c r="D326" s="503"/>
      <c r="E326" s="503"/>
    </row>
    <row r="327" spans="3:5" s="500" customFormat="1" ht="13.5">
      <c r="C327" s="503"/>
      <c r="D327" s="503"/>
      <c r="E327" s="503"/>
    </row>
    <row r="328" spans="3:5" s="500" customFormat="1" ht="13.5">
      <c r="C328" s="503"/>
      <c r="D328" s="503"/>
      <c r="E328" s="503"/>
    </row>
    <row r="329" spans="3:5" s="500" customFormat="1" ht="13.5">
      <c r="C329" s="503"/>
      <c r="D329" s="503"/>
      <c r="E329" s="503"/>
    </row>
    <row r="330" spans="3:5" s="500" customFormat="1" ht="13.5">
      <c r="C330" s="503"/>
      <c r="D330" s="503"/>
      <c r="E330" s="503"/>
    </row>
    <row r="331" spans="3:5" s="500" customFormat="1" ht="13.5">
      <c r="C331" s="503"/>
      <c r="D331" s="503"/>
      <c r="E331" s="503"/>
    </row>
    <row r="332" spans="3:5" s="500" customFormat="1" ht="13.5">
      <c r="C332" s="503"/>
      <c r="D332" s="503"/>
      <c r="E332" s="503"/>
    </row>
    <row r="333" spans="3:5" s="500" customFormat="1" ht="13.5">
      <c r="C333" s="503"/>
      <c r="D333" s="503"/>
      <c r="E333" s="503"/>
    </row>
    <row r="334" spans="3:5" s="500" customFormat="1" ht="13.5">
      <c r="C334" s="503"/>
      <c r="D334" s="503"/>
      <c r="E334" s="503"/>
    </row>
    <row r="335" spans="3:5" s="500" customFormat="1" ht="13.5">
      <c r="C335" s="503"/>
      <c r="D335" s="503"/>
      <c r="E335" s="503"/>
    </row>
    <row r="336" spans="3:5" s="500" customFormat="1" ht="13.5">
      <c r="C336" s="503"/>
      <c r="D336" s="503"/>
      <c r="E336" s="503"/>
    </row>
    <row r="337" spans="3:5" s="500" customFormat="1" ht="13.5">
      <c r="C337" s="503"/>
      <c r="D337" s="503"/>
      <c r="E337" s="503"/>
    </row>
    <row r="338" spans="3:5" s="500" customFormat="1" ht="13.5">
      <c r="C338" s="503"/>
      <c r="D338" s="503"/>
      <c r="E338" s="503"/>
    </row>
    <row r="339" spans="3:5" s="500" customFormat="1" ht="13.5">
      <c r="C339" s="503"/>
      <c r="D339" s="503"/>
      <c r="E339" s="503"/>
    </row>
    <row r="340" spans="3:5" s="500" customFormat="1" ht="13.5">
      <c r="C340" s="503"/>
      <c r="D340" s="503"/>
      <c r="E340" s="503"/>
    </row>
    <row r="341" spans="3:5" s="500" customFormat="1" ht="13.5">
      <c r="C341" s="503"/>
      <c r="D341" s="503"/>
      <c r="E341" s="503"/>
    </row>
    <row r="342" spans="3:5" s="500" customFormat="1" ht="13.5">
      <c r="C342" s="503"/>
      <c r="D342" s="503"/>
      <c r="E342" s="503"/>
    </row>
    <row r="343" spans="3:5" s="500" customFormat="1" ht="13.5">
      <c r="C343" s="503"/>
      <c r="D343" s="503"/>
      <c r="E343" s="503"/>
    </row>
    <row r="344" spans="3:5" s="500" customFormat="1" ht="13.5">
      <c r="C344" s="503"/>
      <c r="D344" s="503"/>
      <c r="E344" s="503"/>
    </row>
    <row r="345" spans="3:5" s="500" customFormat="1" ht="13.5">
      <c r="C345" s="503"/>
      <c r="D345" s="503"/>
      <c r="E345" s="503"/>
    </row>
    <row r="346" spans="3:5" s="500" customFormat="1" ht="13.5">
      <c r="C346" s="503"/>
      <c r="D346" s="503"/>
      <c r="E346" s="503"/>
    </row>
    <row r="347" spans="3:5" s="500" customFormat="1" ht="13.5">
      <c r="C347" s="503"/>
      <c r="D347" s="503"/>
      <c r="E347" s="503"/>
    </row>
    <row r="348" spans="3:5" s="500" customFormat="1" ht="13.5">
      <c r="C348" s="503"/>
      <c r="D348" s="503"/>
      <c r="E348" s="503"/>
    </row>
    <row r="349" spans="3:5" s="500" customFormat="1" ht="13.5">
      <c r="C349" s="503"/>
      <c r="D349" s="503"/>
      <c r="E349" s="503"/>
    </row>
    <row r="350" spans="3:5" s="500" customFormat="1" ht="13.5">
      <c r="C350" s="503"/>
      <c r="D350" s="503"/>
      <c r="E350" s="503"/>
    </row>
    <row r="351" spans="3:5" s="500" customFormat="1" ht="13.5">
      <c r="C351" s="503"/>
      <c r="D351" s="503"/>
      <c r="E351" s="503"/>
    </row>
    <row r="352" spans="3:5" s="500" customFormat="1" ht="13.5">
      <c r="C352" s="503"/>
      <c r="D352" s="503"/>
      <c r="E352" s="503"/>
    </row>
    <row r="353" spans="3:5" s="500" customFormat="1" ht="13.5">
      <c r="C353" s="503"/>
      <c r="D353" s="503"/>
      <c r="E353" s="503"/>
    </row>
    <row r="354" spans="3:5" s="500" customFormat="1" ht="13.5">
      <c r="C354" s="503"/>
      <c r="D354" s="503"/>
      <c r="E354" s="503"/>
    </row>
    <row r="355" spans="3:5" s="500" customFormat="1" ht="13.5">
      <c r="C355" s="503"/>
      <c r="D355" s="503"/>
      <c r="E355" s="503"/>
    </row>
    <row r="356" spans="3:5" s="500" customFormat="1" ht="13.5">
      <c r="C356" s="503"/>
      <c r="D356" s="503"/>
      <c r="E356" s="503"/>
    </row>
    <row r="357" spans="3:5" s="500" customFormat="1" ht="13.5">
      <c r="C357" s="503"/>
      <c r="D357" s="503"/>
      <c r="E357" s="503"/>
    </row>
    <row r="358" spans="3:5" s="500" customFormat="1" ht="13.5">
      <c r="C358" s="503"/>
      <c r="D358" s="503"/>
      <c r="E358" s="503"/>
    </row>
    <row r="359" spans="3:5" s="500" customFormat="1" ht="13.5">
      <c r="C359" s="503"/>
      <c r="D359" s="503"/>
      <c r="E359" s="503"/>
    </row>
    <row r="360" spans="3:5" s="500" customFormat="1" ht="13.5">
      <c r="C360" s="503"/>
      <c r="D360" s="503"/>
      <c r="E360" s="503"/>
    </row>
    <row r="361" spans="3:5" s="500" customFormat="1" ht="13.5">
      <c r="C361" s="503"/>
      <c r="D361" s="503"/>
      <c r="E361" s="503"/>
    </row>
    <row r="362" spans="3:5" s="500" customFormat="1" ht="13.5">
      <c r="C362" s="503"/>
      <c r="D362" s="503"/>
      <c r="E362" s="503"/>
    </row>
    <row r="363" spans="3:5" s="500" customFormat="1" ht="13.5">
      <c r="C363" s="503"/>
      <c r="D363" s="503"/>
      <c r="E363" s="503"/>
    </row>
    <row r="364" spans="3:5" s="500" customFormat="1" ht="13.5">
      <c r="C364" s="503"/>
      <c r="D364" s="503"/>
      <c r="E364" s="503"/>
    </row>
    <row r="365" spans="3:5" s="500" customFormat="1" ht="13.5">
      <c r="C365" s="503"/>
      <c r="D365" s="503"/>
      <c r="E365" s="503"/>
    </row>
    <row r="366" spans="3:5" s="500" customFormat="1" ht="13.5">
      <c r="C366" s="503"/>
      <c r="D366" s="503"/>
      <c r="E366" s="503"/>
    </row>
    <row r="367" spans="3:5" s="500" customFormat="1" ht="13.5">
      <c r="C367" s="503"/>
      <c r="D367" s="503"/>
      <c r="E367" s="503"/>
    </row>
    <row r="368" spans="3:5" s="500" customFormat="1" ht="13.5">
      <c r="C368" s="503"/>
      <c r="D368" s="503"/>
      <c r="E368" s="503"/>
    </row>
    <row r="369" spans="3:5" s="500" customFormat="1" ht="13.5">
      <c r="C369" s="503"/>
      <c r="D369" s="503"/>
      <c r="E369" s="503"/>
    </row>
    <row r="370" spans="3:5" s="500" customFormat="1" ht="13.5">
      <c r="C370" s="503"/>
      <c r="D370" s="503"/>
      <c r="E370" s="503"/>
    </row>
    <row r="371" spans="3:5" s="500" customFormat="1" ht="13.5">
      <c r="C371" s="503"/>
      <c r="D371" s="503"/>
      <c r="E371" s="503"/>
    </row>
    <row r="372" spans="3:5" s="500" customFormat="1" ht="13.5">
      <c r="C372" s="503"/>
      <c r="D372" s="503"/>
      <c r="E372" s="503"/>
    </row>
    <row r="373" spans="3:5" s="500" customFormat="1" ht="13.5">
      <c r="C373" s="503"/>
      <c r="D373" s="503"/>
      <c r="E373" s="503"/>
    </row>
    <row r="374" spans="3:5" s="500" customFormat="1" ht="13.5">
      <c r="C374" s="503"/>
      <c r="D374" s="503"/>
      <c r="E374" s="503"/>
    </row>
    <row r="375" spans="3:5" s="500" customFormat="1" ht="13.5">
      <c r="C375" s="503"/>
      <c r="D375" s="503"/>
      <c r="E375" s="503"/>
    </row>
    <row r="376" spans="3:5" s="500" customFormat="1" ht="13.5">
      <c r="C376" s="503"/>
      <c r="D376" s="503"/>
      <c r="E376" s="503"/>
    </row>
    <row r="377" spans="3:5" s="500" customFormat="1" ht="13.5">
      <c r="C377" s="503"/>
      <c r="D377" s="503"/>
      <c r="E377" s="503"/>
    </row>
    <row r="378" spans="3:5" s="500" customFormat="1" ht="13.5">
      <c r="C378" s="503"/>
      <c r="D378" s="503"/>
      <c r="E378" s="503"/>
    </row>
    <row r="379" spans="3:5" s="500" customFormat="1" ht="13.5">
      <c r="C379" s="503"/>
      <c r="D379" s="503"/>
      <c r="E379" s="503"/>
    </row>
    <row r="380" spans="3:5" s="500" customFormat="1" ht="13.5">
      <c r="C380" s="503"/>
      <c r="D380" s="503"/>
      <c r="E380" s="503"/>
    </row>
    <row r="381" spans="3:5" s="500" customFormat="1" ht="13.5">
      <c r="C381" s="503"/>
      <c r="D381" s="503"/>
      <c r="E381" s="503"/>
    </row>
    <row r="382" spans="3:5" s="500" customFormat="1" ht="13.5">
      <c r="C382" s="503"/>
      <c r="D382" s="503"/>
      <c r="E382" s="503"/>
    </row>
    <row r="383" spans="3:5" s="500" customFormat="1" ht="13.5">
      <c r="C383" s="503"/>
      <c r="D383" s="503"/>
      <c r="E383" s="503"/>
    </row>
    <row r="384" spans="3:5" s="500" customFormat="1" ht="13.5">
      <c r="C384" s="503"/>
      <c r="D384" s="503"/>
      <c r="E384" s="503"/>
    </row>
    <row r="385" spans="3:5" s="500" customFormat="1" ht="13.5">
      <c r="C385" s="503"/>
      <c r="D385" s="503"/>
      <c r="E385" s="503"/>
    </row>
    <row r="386" spans="3:5" s="500" customFormat="1" ht="13.5">
      <c r="C386" s="503"/>
      <c r="D386" s="503"/>
      <c r="E386" s="503"/>
    </row>
    <row r="387" spans="3:5" s="500" customFormat="1" ht="13.5">
      <c r="C387" s="503"/>
      <c r="D387" s="503"/>
      <c r="E387" s="503"/>
    </row>
    <row r="388" spans="3:5" s="500" customFormat="1" ht="13.5">
      <c r="C388" s="503"/>
      <c r="D388" s="503"/>
      <c r="E388" s="503"/>
    </row>
    <row r="389" spans="3:5" s="500" customFormat="1" ht="13.5">
      <c r="C389" s="503"/>
      <c r="D389" s="503"/>
      <c r="E389" s="503"/>
    </row>
    <row r="390" spans="3:5" s="500" customFormat="1" ht="13.5">
      <c r="C390" s="503"/>
      <c r="D390" s="503"/>
      <c r="E390" s="503"/>
    </row>
    <row r="391" spans="3:5" s="500" customFormat="1" ht="13.5">
      <c r="C391" s="503"/>
      <c r="D391" s="503"/>
      <c r="E391" s="503"/>
    </row>
    <row r="392" spans="3:5" s="500" customFormat="1" ht="13.5">
      <c r="C392" s="503"/>
      <c r="D392" s="503"/>
      <c r="E392" s="503"/>
    </row>
    <row r="393" spans="3:5" s="500" customFormat="1" ht="13.5">
      <c r="C393" s="503"/>
      <c r="D393" s="503"/>
      <c r="E393" s="503"/>
    </row>
    <row r="394" spans="3:5" s="500" customFormat="1" ht="13.5">
      <c r="C394" s="503"/>
      <c r="D394" s="503"/>
      <c r="E394" s="503"/>
    </row>
    <row r="395" spans="3:5" s="500" customFormat="1" ht="13.5">
      <c r="C395" s="503"/>
      <c r="D395" s="503"/>
      <c r="E395" s="503"/>
    </row>
    <row r="396" spans="3:5" s="500" customFormat="1" ht="13.5">
      <c r="C396" s="503"/>
      <c r="D396" s="503"/>
      <c r="E396" s="503"/>
    </row>
    <row r="397" spans="3:5" s="500" customFormat="1" ht="13.5">
      <c r="C397" s="503"/>
      <c r="D397" s="503"/>
      <c r="E397" s="503"/>
    </row>
    <row r="398" spans="3:5" s="500" customFormat="1" ht="13.5">
      <c r="C398" s="503"/>
      <c r="D398" s="503"/>
      <c r="E398" s="503"/>
    </row>
    <row r="399" spans="3:5" s="500" customFormat="1" ht="13.5">
      <c r="C399" s="503"/>
      <c r="D399" s="503"/>
      <c r="E399" s="503"/>
    </row>
    <row r="400" spans="3:5" s="500" customFormat="1" ht="13.5">
      <c r="C400" s="503"/>
      <c r="D400" s="503"/>
      <c r="E400" s="503"/>
    </row>
    <row r="401" spans="3:5" s="500" customFormat="1" ht="13.5">
      <c r="C401" s="503"/>
      <c r="D401" s="503"/>
      <c r="E401" s="503"/>
    </row>
    <row r="402" spans="3:5" s="500" customFormat="1" ht="13.5">
      <c r="C402" s="503"/>
      <c r="D402" s="503"/>
      <c r="E402" s="503"/>
    </row>
    <row r="403" spans="3:5" s="500" customFormat="1" ht="13.5">
      <c r="C403" s="503"/>
      <c r="D403" s="503"/>
      <c r="E403" s="503"/>
    </row>
    <row r="404" spans="3:5" s="500" customFormat="1" ht="13.5">
      <c r="C404" s="503"/>
      <c r="D404" s="503"/>
      <c r="E404" s="503"/>
    </row>
    <row r="405" spans="3:5" s="500" customFormat="1" ht="13.5">
      <c r="C405" s="503"/>
      <c r="D405" s="503"/>
      <c r="E405" s="503"/>
    </row>
    <row r="406" spans="3:5" s="500" customFormat="1" ht="13.5">
      <c r="C406" s="503"/>
      <c r="D406" s="503"/>
      <c r="E406" s="503"/>
    </row>
    <row r="407" spans="3:5" s="500" customFormat="1" ht="13.5">
      <c r="C407" s="503"/>
      <c r="D407" s="503"/>
      <c r="E407" s="503"/>
    </row>
    <row r="408" spans="3:5" s="500" customFormat="1" ht="13.5">
      <c r="C408" s="503"/>
      <c r="D408" s="503"/>
      <c r="E408" s="503"/>
    </row>
    <row r="409" spans="3:5" s="500" customFormat="1" ht="13.5">
      <c r="C409" s="503"/>
      <c r="D409" s="503"/>
      <c r="E409" s="503"/>
    </row>
    <row r="410" spans="3:5" s="500" customFormat="1" ht="13.5">
      <c r="C410" s="503"/>
      <c r="D410" s="503"/>
      <c r="E410" s="503"/>
    </row>
    <row r="411" spans="3:5" s="500" customFormat="1" ht="13.5">
      <c r="C411" s="503"/>
      <c r="D411" s="503"/>
      <c r="E411" s="503"/>
    </row>
    <row r="412" spans="3:5" s="500" customFormat="1" ht="13.5">
      <c r="C412" s="503"/>
      <c r="D412" s="503"/>
      <c r="E412" s="503"/>
    </row>
    <row r="413" spans="3:5" s="500" customFormat="1" ht="13.5">
      <c r="C413" s="503"/>
      <c r="D413" s="503"/>
      <c r="E413" s="503"/>
    </row>
    <row r="414" spans="3:5" s="500" customFormat="1" ht="13.5">
      <c r="C414" s="503"/>
      <c r="D414" s="503"/>
      <c r="E414" s="503"/>
    </row>
    <row r="415" spans="3:5" s="500" customFormat="1" ht="13.5">
      <c r="C415" s="503"/>
      <c r="D415" s="503"/>
      <c r="E415" s="503"/>
    </row>
    <row r="416" spans="3:5" s="500" customFormat="1" ht="13.5">
      <c r="C416" s="503"/>
      <c r="D416" s="503"/>
      <c r="E416" s="503"/>
    </row>
    <row r="417" spans="3:5" s="500" customFormat="1" ht="13.5">
      <c r="C417" s="503"/>
      <c r="D417" s="503"/>
      <c r="E417" s="503"/>
    </row>
    <row r="418" spans="3:5" s="500" customFormat="1" ht="13.5">
      <c r="C418" s="503"/>
      <c r="D418" s="503"/>
      <c r="E418" s="503"/>
    </row>
    <row r="419" spans="3:5" s="500" customFormat="1" ht="13.5">
      <c r="C419" s="503"/>
      <c r="D419" s="503"/>
      <c r="E419" s="503"/>
    </row>
    <row r="420" spans="3:5" s="500" customFormat="1" ht="13.5">
      <c r="C420" s="503"/>
      <c r="D420" s="503"/>
      <c r="E420" s="503"/>
    </row>
    <row r="421" spans="3:5" s="500" customFormat="1" ht="13.5">
      <c r="C421" s="503"/>
      <c r="D421" s="503"/>
      <c r="E421" s="503"/>
    </row>
    <row r="422" spans="3:5" s="500" customFormat="1" ht="13.5">
      <c r="C422" s="503"/>
      <c r="D422" s="503"/>
      <c r="E422" s="503"/>
    </row>
    <row r="423" spans="3:5" s="500" customFormat="1" ht="13.5">
      <c r="C423" s="503"/>
      <c r="D423" s="503"/>
      <c r="E423" s="503"/>
    </row>
    <row r="424" spans="3:5" s="500" customFormat="1" ht="13.5">
      <c r="C424" s="503"/>
      <c r="D424" s="503"/>
      <c r="E424" s="503"/>
    </row>
    <row r="425" spans="3:5" s="500" customFormat="1" ht="13.5">
      <c r="C425" s="503"/>
      <c r="D425" s="503"/>
      <c r="E425" s="503"/>
    </row>
    <row r="426" spans="3:5" s="500" customFormat="1" ht="13.5">
      <c r="C426" s="503"/>
      <c r="D426" s="503"/>
      <c r="E426" s="503"/>
    </row>
    <row r="427" spans="3:5" s="500" customFormat="1" ht="13.5">
      <c r="C427" s="503"/>
      <c r="D427" s="503"/>
      <c r="E427" s="503"/>
    </row>
    <row r="428" spans="3:5" s="500" customFormat="1" ht="13.5">
      <c r="C428" s="503"/>
      <c r="D428" s="503"/>
      <c r="E428" s="503"/>
    </row>
    <row r="429" spans="3:5" s="500" customFormat="1" ht="13.5">
      <c r="C429" s="503"/>
      <c r="D429" s="503"/>
      <c r="E429" s="503"/>
    </row>
    <row r="430" spans="3:5" s="500" customFormat="1" ht="13.5">
      <c r="C430" s="503"/>
      <c r="D430" s="503"/>
      <c r="E430" s="503"/>
    </row>
    <row r="431" spans="3:5" s="500" customFormat="1" ht="13.5">
      <c r="C431" s="503"/>
      <c r="D431" s="503"/>
      <c r="E431" s="503"/>
    </row>
    <row r="432" spans="3:5" s="500" customFormat="1" ht="13.5">
      <c r="C432" s="503"/>
      <c r="D432" s="503"/>
      <c r="E432" s="503"/>
    </row>
    <row r="433" spans="3:5" s="500" customFormat="1" ht="13.5">
      <c r="C433" s="503"/>
      <c r="D433" s="503"/>
      <c r="E433" s="503"/>
    </row>
    <row r="434" spans="3:5" s="500" customFormat="1" ht="13.5">
      <c r="C434" s="503"/>
      <c r="D434" s="503"/>
      <c r="E434" s="503"/>
    </row>
    <row r="435" spans="3:5" s="500" customFormat="1" ht="13.5">
      <c r="C435" s="503"/>
      <c r="D435" s="503"/>
      <c r="E435" s="503"/>
    </row>
    <row r="436" spans="3:5" s="500" customFormat="1" ht="13.5">
      <c r="C436" s="503"/>
      <c r="D436" s="503"/>
      <c r="E436" s="503"/>
    </row>
    <row r="437" spans="3:5" s="500" customFormat="1" ht="13.5">
      <c r="C437" s="503"/>
      <c r="D437" s="503"/>
      <c r="E437" s="503"/>
    </row>
    <row r="438" spans="3:5" s="500" customFormat="1" ht="13.5">
      <c r="C438" s="503"/>
      <c r="D438" s="503"/>
      <c r="E438" s="503"/>
    </row>
    <row r="439" spans="3:5" s="500" customFormat="1" ht="13.5">
      <c r="C439" s="503"/>
      <c r="D439" s="503"/>
      <c r="E439" s="503"/>
    </row>
    <row r="440" spans="3:5" s="500" customFormat="1" ht="13.5">
      <c r="C440" s="503"/>
      <c r="D440" s="503"/>
      <c r="E440" s="503"/>
    </row>
    <row r="441" spans="3:5" s="500" customFormat="1" ht="13.5">
      <c r="C441" s="503"/>
      <c r="D441" s="503"/>
      <c r="E441" s="503"/>
    </row>
    <row r="442" spans="3:5" s="500" customFormat="1" ht="13.5">
      <c r="C442" s="503"/>
      <c r="D442" s="503"/>
      <c r="E442" s="503"/>
    </row>
    <row r="443" spans="3:5" s="500" customFormat="1" ht="13.5">
      <c r="C443" s="503"/>
      <c r="D443" s="503"/>
      <c r="E443" s="503"/>
    </row>
    <row r="444" spans="3:5" s="500" customFormat="1" ht="13.5">
      <c r="C444" s="503"/>
      <c r="D444" s="503"/>
      <c r="E444" s="503"/>
    </row>
    <row r="445" spans="3:5" s="500" customFormat="1" ht="13.5">
      <c r="C445" s="503"/>
      <c r="D445" s="503"/>
      <c r="E445" s="503"/>
    </row>
    <row r="446" spans="3:5" s="500" customFormat="1" ht="13.5">
      <c r="C446" s="503"/>
      <c r="D446" s="503"/>
      <c r="E446" s="503"/>
    </row>
    <row r="447" spans="3:5" s="500" customFormat="1" ht="13.5">
      <c r="C447" s="503"/>
      <c r="D447" s="503"/>
      <c r="E447" s="503"/>
    </row>
    <row r="448" spans="3:5" s="500" customFormat="1" ht="13.5">
      <c r="C448" s="503"/>
      <c r="D448" s="503"/>
      <c r="E448" s="503"/>
    </row>
    <row r="449" spans="3:5" s="500" customFormat="1" ht="13.5">
      <c r="C449" s="503"/>
      <c r="D449" s="503"/>
      <c r="E449" s="503"/>
    </row>
    <row r="450" spans="3:5" s="500" customFormat="1" ht="13.5">
      <c r="C450" s="503"/>
      <c r="D450" s="503"/>
      <c r="E450" s="503"/>
    </row>
    <row r="451" spans="3:5" s="500" customFormat="1" ht="13.5">
      <c r="C451" s="503"/>
      <c r="D451" s="503"/>
      <c r="E451" s="503"/>
    </row>
    <row r="452" spans="3:5" s="500" customFormat="1" ht="13.5">
      <c r="C452" s="503"/>
      <c r="D452" s="503"/>
      <c r="E452" s="503"/>
    </row>
    <row r="453" spans="3:5" s="500" customFormat="1" ht="13.5">
      <c r="C453" s="503"/>
      <c r="D453" s="503"/>
      <c r="E453" s="503"/>
    </row>
    <row r="454" spans="3:5" s="500" customFormat="1" ht="13.5">
      <c r="C454" s="503"/>
      <c r="D454" s="503"/>
      <c r="E454" s="503"/>
    </row>
    <row r="455" spans="3:5" s="500" customFormat="1" ht="13.5">
      <c r="C455" s="503"/>
      <c r="D455" s="503"/>
      <c r="E455" s="503"/>
    </row>
    <row r="456" spans="3:5" s="500" customFormat="1" ht="13.5">
      <c r="C456" s="503"/>
      <c r="D456" s="503"/>
      <c r="E456" s="503"/>
    </row>
    <row r="457" spans="3:5" s="500" customFormat="1" ht="13.5">
      <c r="C457" s="503"/>
      <c r="D457" s="503"/>
      <c r="E457" s="503"/>
    </row>
    <row r="458" spans="3:5" s="500" customFormat="1" ht="13.5">
      <c r="C458" s="503"/>
      <c r="D458" s="503"/>
      <c r="E458" s="503"/>
    </row>
    <row r="459" spans="3:5" s="500" customFormat="1" ht="13.5">
      <c r="C459" s="503"/>
      <c r="D459" s="503"/>
      <c r="E459" s="503"/>
    </row>
    <row r="460" spans="3:5" s="500" customFormat="1" ht="13.5">
      <c r="C460" s="503"/>
      <c r="D460" s="503"/>
      <c r="E460" s="503"/>
    </row>
    <row r="461" spans="3:5" s="500" customFormat="1" ht="13.5">
      <c r="C461" s="503"/>
      <c r="D461" s="503"/>
      <c r="E461" s="503"/>
    </row>
    <row r="462" spans="3:5" s="500" customFormat="1" ht="13.5">
      <c r="C462" s="503"/>
      <c r="D462" s="503"/>
      <c r="E462" s="503"/>
    </row>
    <row r="463" spans="3:5" s="500" customFormat="1" ht="13.5">
      <c r="C463" s="503"/>
      <c r="D463" s="503"/>
      <c r="E463" s="503"/>
    </row>
    <row r="464" spans="3:5" s="500" customFormat="1" ht="13.5">
      <c r="C464" s="503"/>
      <c r="D464" s="503"/>
      <c r="E464" s="503"/>
    </row>
    <row r="465" spans="3:5" s="500" customFormat="1" ht="13.5">
      <c r="C465" s="503"/>
      <c r="D465" s="503"/>
      <c r="E465" s="503"/>
    </row>
    <row r="466" spans="3:5" s="500" customFormat="1" ht="13.5">
      <c r="C466" s="503"/>
      <c r="D466" s="503"/>
      <c r="E466" s="503"/>
    </row>
    <row r="467" spans="3:5" s="500" customFormat="1" ht="13.5">
      <c r="C467" s="503"/>
      <c r="D467" s="503"/>
      <c r="E467" s="503"/>
    </row>
    <row r="468" spans="3:5" s="500" customFormat="1" ht="13.5">
      <c r="C468" s="503"/>
      <c r="D468" s="503"/>
      <c r="E468" s="503"/>
    </row>
    <row r="469" spans="3:5" s="500" customFormat="1" ht="13.5">
      <c r="C469" s="503"/>
      <c r="D469" s="503"/>
      <c r="E469" s="503"/>
    </row>
    <row r="470" spans="3:5" s="500" customFormat="1" ht="13.5">
      <c r="C470" s="503"/>
      <c r="D470" s="503"/>
      <c r="E470" s="503"/>
    </row>
    <row r="471" spans="3:5" s="500" customFormat="1" ht="13.5">
      <c r="C471" s="503"/>
      <c r="D471" s="503"/>
      <c r="E471" s="503"/>
    </row>
    <row r="472" spans="3:5" s="500" customFormat="1" ht="13.5">
      <c r="C472" s="503"/>
      <c r="D472" s="503"/>
      <c r="E472" s="503"/>
    </row>
    <row r="473" spans="3:5" s="500" customFormat="1" ht="13.5">
      <c r="C473" s="503"/>
      <c r="D473" s="503"/>
      <c r="E473" s="503"/>
    </row>
    <row r="474" spans="3:5" s="500" customFormat="1" ht="13.5">
      <c r="C474" s="503"/>
      <c r="D474" s="503"/>
      <c r="E474" s="503"/>
    </row>
    <row r="475" spans="3:5" s="500" customFormat="1" ht="13.5">
      <c r="C475" s="503"/>
      <c r="D475" s="503"/>
      <c r="E475" s="503"/>
    </row>
    <row r="476" spans="3:5" s="500" customFormat="1" ht="13.5">
      <c r="C476" s="503"/>
      <c r="D476" s="503"/>
      <c r="E476" s="503"/>
    </row>
    <row r="477" spans="3:5" s="500" customFormat="1" ht="13.5">
      <c r="C477" s="503"/>
      <c r="D477" s="503"/>
      <c r="E477" s="503"/>
    </row>
    <row r="478" spans="3:5" s="500" customFormat="1" ht="13.5">
      <c r="C478" s="503"/>
      <c r="D478" s="503"/>
      <c r="E478" s="503"/>
    </row>
    <row r="479" spans="3:5" s="500" customFormat="1" ht="13.5">
      <c r="C479" s="503"/>
      <c r="D479" s="503"/>
      <c r="E479" s="503"/>
    </row>
    <row r="480" spans="3:5" s="500" customFormat="1" ht="13.5">
      <c r="C480" s="503"/>
      <c r="D480" s="503"/>
      <c r="E480" s="503"/>
    </row>
    <row r="481" spans="3:5" s="500" customFormat="1" ht="13.5">
      <c r="C481" s="503"/>
      <c r="D481" s="503"/>
      <c r="E481" s="503"/>
    </row>
    <row r="482" spans="3:5" s="500" customFormat="1" ht="13.5">
      <c r="C482" s="503"/>
      <c r="D482" s="503"/>
      <c r="E482" s="503"/>
    </row>
    <row r="483" spans="3:5" s="500" customFormat="1" ht="13.5">
      <c r="C483" s="503"/>
      <c r="D483" s="503"/>
      <c r="E483" s="503"/>
    </row>
    <row r="484" spans="3:5" s="500" customFormat="1" ht="13.5">
      <c r="C484" s="503"/>
      <c r="D484" s="503"/>
      <c r="E484" s="503"/>
    </row>
    <row r="485" spans="3:5" s="500" customFormat="1" ht="13.5">
      <c r="C485" s="503"/>
      <c r="D485" s="503"/>
      <c r="E485" s="503"/>
    </row>
    <row r="486" spans="3:5" s="500" customFormat="1" ht="13.5">
      <c r="C486" s="503"/>
      <c r="D486" s="503"/>
      <c r="E486" s="503"/>
    </row>
    <row r="487" spans="3:5" s="500" customFormat="1" ht="13.5">
      <c r="C487" s="503"/>
      <c r="D487" s="503"/>
      <c r="E487" s="503"/>
    </row>
    <row r="488" spans="3:5" s="500" customFormat="1" ht="13.5">
      <c r="C488" s="503"/>
      <c r="D488" s="503"/>
      <c r="E488" s="503"/>
    </row>
    <row r="489" spans="3:5" s="500" customFormat="1" ht="13.5">
      <c r="C489" s="503"/>
      <c r="D489" s="503"/>
      <c r="E489" s="503"/>
    </row>
    <row r="490" spans="3:5" s="500" customFormat="1" ht="13.5">
      <c r="C490" s="503"/>
      <c r="D490" s="503"/>
      <c r="E490" s="503"/>
    </row>
    <row r="491" spans="3:5" s="500" customFormat="1" ht="13.5">
      <c r="C491" s="503"/>
      <c r="D491" s="503"/>
      <c r="E491" s="503"/>
    </row>
    <row r="492" spans="3:5" s="500" customFormat="1" ht="13.5">
      <c r="C492" s="503"/>
      <c r="D492" s="503"/>
      <c r="E492" s="503"/>
    </row>
    <row r="493" spans="3:5" s="500" customFormat="1" ht="13.5">
      <c r="C493" s="503"/>
      <c r="D493" s="503"/>
      <c r="E493" s="503"/>
    </row>
    <row r="494" spans="3:5" s="500" customFormat="1" ht="13.5">
      <c r="C494" s="503"/>
      <c r="D494" s="503"/>
      <c r="E494" s="503"/>
    </row>
    <row r="495" spans="3:5" s="500" customFormat="1" ht="13.5">
      <c r="C495" s="503"/>
      <c r="D495" s="503"/>
      <c r="E495" s="503"/>
    </row>
    <row r="496" spans="3:5" s="500" customFormat="1" ht="13.5">
      <c r="C496" s="503"/>
      <c r="D496" s="503"/>
      <c r="E496" s="503"/>
    </row>
    <row r="497" spans="3:5" s="500" customFormat="1" ht="13.5">
      <c r="C497" s="503"/>
      <c r="D497" s="503"/>
      <c r="E497" s="503"/>
    </row>
    <row r="498" spans="3:5" s="500" customFormat="1" ht="13.5">
      <c r="C498" s="503"/>
      <c r="D498" s="503"/>
      <c r="E498" s="503"/>
    </row>
    <row r="499" spans="3:5" s="500" customFormat="1" ht="13.5">
      <c r="C499" s="503"/>
      <c r="D499" s="503"/>
      <c r="E499" s="503"/>
    </row>
    <row r="500" spans="3:5" s="500" customFormat="1" ht="13.5">
      <c r="C500" s="503"/>
      <c r="D500" s="503"/>
      <c r="E500" s="503"/>
    </row>
    <row r="501" spans="3:5" s="500" customFormat="1" ht="13.5">
      <c r="C501" s="503"/>
      <c r="D501" s="503"/>
      <c r="E501" s="503"/>
    </row>
    <row r="502" spans="3:5" s="500" customFormat="1" ht="13.5">
      <c r="C502" s="503"/>
      <c r="D502" s="503"/>
      <c r="E502" s="503"/>
    </row>
    <row r="503" spans="3:5" s="500" customFormat="1" ht="13.5">
      <c r="C503" s="503"/>
      <c r="D503" s="503"/>
      <c r="E503" s="503"/>
    </row>
    <row r="504" spans="3:5" s="500" customFormat="1" ht="13.5">
      <c r="C504" s="503"/>
      <c r="D504" s="503"/>
      <c r="E504" s="503"/>
    </row>
    <row r="505" spans="3:5" s="500" customFormat="1" ht="13.5">
      <c r="C505" s="503"/>
      <c r="D505" s="503"/>
      <c r="E505" s="503"/>
    </row>
    <row r="506" spans="3:5" s="500" customFormat="1" ht="13.5">
      <c r="C506" s="503"/>
      <c r="D506" s="503"/>
      <c r="E506" s="503"/>
    </row>
    <row r="507" spans="3:5" s="500" customFormat="1" ht="13.5">
      <c r="C507" s="503"/>
      <c r="D507" s="503"/>
      <c r="E507" s="503"/>
    </row>
    <row r="508" spans="3:5" s="500" customFormat="1" ht="13.5">
      <c r="C508" s="503"/>
      <c r="D508" s="503"/>
      <c r="E508" s="503"/>
    </row>
    <row r="509" spans="3:5" s="500" customFormat="1" ht="13.5">
      <c r="C509" s="503"/>
      <c r="D509" s="503"/>
      <c r="E509" s="503"/>
    </row>
    <row r="510" spans="3:5" s="500" customFormat="1" ht="13.5">
      <c r="C510" s="503"/>
      <c r="D510" s="503"/>
      <c r="E510" s="503"/>
    </row>
    <row r="511" spans="3:5" s="500" customFormat="1" ht="13.5">
      <c r="C511" s="503"/>
      <c r="D511" s="503"/>
      <c r="E511" s="503"/>
    </row>
    <row r="512" spans="3:5" s="500" customFormat="1" ht="13.5">
      <c r="C512" s="503"/>
      <c r="D512" s="503"/>
      <c r="E512" s="503"/>
    </row>
    <row r="513" spans="3:5" s="500" customFormat="1" ht="13.5">
      <c r="C513" s="503"/>
      <c r="D513" s="503"/>
      <c r="E513" s="503"/>
    </row>
    <row r="514" spans="3:5" s="500" customFormat="1" ht="13.5">
      <c r="C514" s="503"/>
      <c r="D514" s="503"/>
      <c r="E514" s="503"/>
    </row>
    <row r="515" spans="3:5" s="500" customFormat="1" ht="13.5">
      <c r="C515" s="503"/>
      <c r="D515" s="503"/>
      <c r="E515" s="503"/>
    </row>
    <row r="516" spans="3:5" s="500" customFormat="1" ht="13.5">
      <c r="C516" s="503"/>
      <c r="D516" s="503"/>
      <c r="E516" s="503"/>
    </row>
    <row r="517" spans="3:5" s="500" customFormat="1" ht="13.5">
      <c r="C517" s="503"/>
      <c r="D517" s="503"/>
      <c r="E517" s="503"/>
    </row>
    <row r="518" spans="3:5" s="500" customFormat="1" ht="13.5">
      <c r="C518" s="503"/>
      <c r="D518" s="503"/>
      <c r="E518" s="503"/>
    </row>
    <row r="519" spans="3:5" s="500" customFormat="1" ht="13.5">
      <c r="C519" s="503"/>
      <c r="D519" s="503"/>
      <c r="E519" s="503"/>
    </row>
    <row r="520" spans="3:5" s="500" customFormat="1" ht="13.5">
      <c r="C520" s="503"/>
      <c r="D520" s="503"/>
      <c r="E520" s="503"/>
    </row>
    <row r="521" spans="3:5" s="500" customFormat="1" ht="13.5">
      <c r="C521" s="503"/>
      <c r="D521" s="503"/>
      <c r="E521" s="503"/>
    </row>
    <row r="522" spans="3:5" s="500" customFormat="1" ht="13.5">
      <c r="C522" s="503"/>
      <c r="D522" s="503"/>
      <c r="E522" s="503"/>
    </row>
    <row r="523" spans="3:5" s="500" customFormat="1" ht="13.5">
      <c r="C523" s="503"/>
      <c r="D523" s="503"/>
      <c r="E523" s="503"/>
    </row>
    <row r="524" spans="3:5" s="500" customFormat="1" ht="13.5">
      <c r="C524" s="503"/>
      <c r="D524" s="503"/>
      <c r="E524" s="503"/>
    </row>
    <row r="525" spans="3:5" s="500" customFormat="1" ht="13.5">
      <c r="C525" s="503"/>
      <c r="D525" s="503"/>
      <c r="E525" s="503"/>
    </row>
    <row r="526" spans="3:5" s="500" customFormat="1" ht="13.5">
      <c r="C526" s="503"/>
      <c r="D526" s="503"/>
      <c r="E526" s="503"/>
    </row>
    <row r="527" spans="3:5" s="500" customFormat="1" ht="13.5">
      <c r="C527" s="503"/>
      <c r="D527" s="503"/>
      <c r="E527" s="503"/>
    </row>
    <row r="528" spans="3:5" s="500" customFormat="1" ht="13.5">
      <c r="C528" s="503"/>
      <c r="D528" s="503"/>
      <c r="E528" s="503"/>
    </row>
    <row r="529" spans="3:5" s="500" customFormat="1" ht="13.5">
      <c r="C529" s="503"/>
      <c r="D529" s="503"/>
      <c r="E529" s="503"/>
    </row>
    <row r="530" spans="3:5" s="500" customFormat="1" ht="13.5">
      <c r="C530" s="503"/>
      <c r="D530" s="503"/>
      <c r="E530" s="503"/>
    </row>
    <row r="531" spans="3:5" s="500" customFormat="1" ht="13.5">
      <c r="C531" s="503"/>
      <c r="D531" s="503"/>
      <c r="E531" s="503"/>
    </row>
    <row r="532" spans="3:5" s="500" customFormat="1" ht="13.5">
      <c r="C532" s="503"/>
      <c r="D532" s="503"/>
      <c r="E532" s="503"/>
    </row>
    <row r="533" spans="3:5" s="500" customFormat="1" ht="13.5">
      <c r="C533" s="503"/>
      <c r="D533" s="503"/>
      <c r="E533" s="503"/>
    </row>
    <row r="534" spans="3:5" s="500" customFormat="1" ht="13.5">
      <c r="C534" s="503"/>
      <c r="D534" s="503"/>
      <c r="E534" s="503"/>
    </row>
    <row r="535" spans="3:5" s="500" customFormat="1" ht="13.5">
      <c r="C535" s="503"/>
      <c r="D535" s="503"/>
      <c r="E535" s="503"/>
    </row>
    <row r="536" spans="3:5" s="500" customFormat="1" ht="13.5">
      <c r="C536" s="503"/>
      <c r="D536" s="503"/>
      <c r="E536" s="503"/>
    </row>
    <row r="537" spans="3:5" s="500" customFormat="1" ht="13.5">
      <c r="C537" s="503"/>
      <c r="D537" s="503"/>
      <c r="E537" s="503"/>
    </row>
    <row r="538" spans="3:5" s="500" customFormat="1" ht="13.5">
      <c r="C538" s="503"/>
      <c r="D538" s="503"/>
      <c r="E538" s="503"/>
    </row>
    <row r="539" spans="3:5" s="500" customFormat="1" ht="13.5">
      <c r="C539" s="503"/>
      <c r="D539" s="503"/>
      <c r="E539" s="503"/>
    </row>
    <row r="540" spans="3:5" s="500" customFormat="1" ht="13.5">
      <c r="C540" s="503"/>
      <c r="D540" s="503"/>
      <c r="E540" s="503"/>
    </row>
    <row r="541" spans="3:5" s="500" customFormat="1" ht="13.5">
      <c r="C541" s="503"/>
      <c r="D541" s="503"/>
      <c r="E541" s="503"/>
    </row>
    <row r="542" spans="3:5" s="500" customFormat="1" ht="13.5">
      <c r="C542" s="503"/>
      <c r="D542" s="503"/>
      <c r="E542" s="503"/>
    </row>
    <row r="543" spans="3:5" s="500" customFormat="1" ht="13.5">
      <c r="C543" s="503"/>
      <c r="D543" s="503"/>
      <c r="E543" s="503"/>
    </row>
    <row r="544" spans="3:5" s="500" customFormat="1" ht="13.5">
      <c r="C544" s="503"/>
      <c r="D544" s="503"/>
      <c r="E544" s="503"/>
    </row>
    <row r="545" spans="3:5" s="500" customFormat="1" ht="13.5">
      <c r="C545" s="503"/>
      <c r="D545" s="503"/>
      <c r="E545" s="503"/>
    </row>
    <row r="546" spans="3:5" s="500" customFormat="1" ht="13.5">
      <c r="C546" s="503"/>
      <c r="D546" s="503"/>
      <c r="E546" s="503"/>
    </row>
    <row r="547" spans="3:5" s="500" customFormat="1" ht="13.5">
      <c r="C547" s="503"/>
      <c r="D547" s="503"/>
      <c r="E547" s="503"/>
    </row>
    <row r="548" spans="3:5" s="500" customFormat="1" ht="13.5">
      <c r="C548" s="503"/>
      <c r="D548" s="503"/>
      <c r="E548" s="503"/>
    </row>
    <row r="549" spans="3:5" s="500" customFormat="1" ht="13.5">
      <c r="C549" s="503"/>
      <c r="D549" s="503"/>
      <c r="E549" s="503"/>
    </row>
    <row r="550" spans="3:5" s="500" customFormat="1" ht="13.5">
      <c r="C550" s="503"/>
      <c r="D550" s="503"/>
      <c r="E550" s="503"/>
    </row>
    <row r="551" spans="3:5" s="500" customFormat="1" ht="13.5">
      <c r="C551" s="503"/>
      <c r="D551" s="503"/>
      <c r="E551" s="503"/>
    </row>
    <row r="552" spans="3:5" s="500" customFormat="1" ht="13.5">
      <c r="C552" s="503"/>
      <c r="D552" s="503"/>
      <c r="E552" s="503"/>
    </row>
    <row r="553" spans="3:5" s="500" customFormat="1" ht="13.5">
      <c r="C553" s="503"/>
      <c r="D553" s="503"/>
      <c r="E553" s="503"/>
    </row>
    <row r="554" spans="3:5" s="500" customFormat="1" ht="13.5">
      <c r="C554" s="503"/>
      <c r="D554" s="503"/>
      <c r="E554" s="503"/>
    </row>
    <row r="555" spans="3:5" s="500" customFormat="1" ht="13.5">
      <c r="C555" s="503"/>
      <c r="D555" s="503"/>
      <c r="E555" s="503"/>
    </row>
    <row r="556" spans="3:5" s="500" customFormat="1" ht="13.5">
      <c r="C556" s="503"/>
      <c r="D556" s="503"/>
      <c r="E556" s="503"/>
    </row>
    <row r="557" spans="3:5" s="500" customFormat="1" ht="13.5">
      <c r="C557" s="503"/>
      <c r="D557" s="503"/>
      <c r="E557" s="503"/>
    </row>
    <row r="558" spans="3:5" s="500" customFormat="1" ht="13.5">
      <c r="C558" s="503"/>
      <c r="D558" s="503"/>
      <c r="E558" s="503"/>
    </row>
    <row r="559" spans="3:5" s="500" customFormat="1" ht="13.5">
      <c r="C559" s="503"/>
      <c r="D559" s="503"/>
      <c r="E559" s="503"/>
    </row>
    <row r="560" spans="3:5" s="500" customFormat="1" ht="13.5">
      <c r="C560" s="503"/>
      <c r="D560" s="503"/>
      <c r="E560" s="503"/>
    </row>
    <row r="561" spans="3:5" s="500" customFormat="1" ht="13.5">
      <c r="C561" s="503"/>
      <c r="D561" s="503"/>
      <c r="E561" s="503"/>
    </row>
    <row r="562" spans="3:5" s="500" customFormat="1" ht="13.5">
      <c r="C562" s="503"/>
      <c r="D562" s="503"/>
      <c r="E562" s="503"/>
    </row>
    <row r="563" spans="3:5" s="500" customFormat="1" ht="13.5">
      <c r="C563" s="503"/>
      <c r="D563" s="503"/>
      <c r="E563" s="503"/>
    </row>
    <row r="564" spans="3:5" s="500" customFormat="1" ht="13.5">
      <c r="C564" s="503"/>
      <c r="D564" s="503"/>
      <c r="E564" s="503"/>
    </row>
    <row r="565" spans="3:5" s="500" customFormat="1" ht="13.5">
      <c r="C565" s="503"/>
      <c r="D565" s="503"/>
      <c r="E565" s="503"/>
    </row>
    <row r="566" spans="3:5" s="500" customFormat="1" ht="13.5">
      <c r="C566" s="503"/>
      <c r="D566" s="503"/>
      <c r="E566" s="503"/>
    </row>
    <row r="567" spans="3:5" s="500" customFormat="1" ht="13.5">
      <c r="C567" s="503"/>
      <c r="D567" s="503"/>
      <c r="E567" s="503"/>
    </row>
    <row r="568" spans="3:5" s="500" customFormat="1" ht="13.5">
      <c r="C568" s="503"/>
      <c r="D568" s="503"/>
      <c r="E568" s="503"/>
    </row>
    <row r="569" spans="3:5" s="500" customFormat="1" ht="13.5">
      <c r="C569" s="503"/>
      <c r="D569" s="503"/>
      <c r="E569" s="503"/>
    </row>
    <row r="570" spans="3:5" s="500" customFormat="1" ht="13.5">
      <c r="C570" s="503"/>
      <c r="D570" s="503"/>
      <c r="E570" s="503"/>
    </row>
    <row r="571" spans="3:5" s="500" customFormat="1" ht="13.5">
      <c r="C571" s="503"/>
      <c r="D571" s="503"/>
      <c r="E571" s="503"/>
    </row>
    <row r="572" spans="3:5" s="500" customFormat="1" ht="13.5">
      <c r="C572" s="503"/>
      <c r="D572" s="503"/>
      <c r="E572" s="503"/>
    </row>
    <row r="573" spans="3:5" s="500" customFormat="1" ht="13.5">
      <c r="C573" s="503"/>
      <c r="D573" s="503"/>
      <c r="E573" s="503"/>
    </row>
    <row r="574" spans="3:5" s="500" customFormat="1" ht="13.5">
      <c r="C574" s="503"/>
      <c r="D574" s="503"/>
      <c r="E574" s="503"/>
    </row>
    <row r="575" spans="3:5" s="500" customFormat="1" ht="13.5">
      <c r="C575" s="503"/>
      <c r="D575" s="503"/>
      <c r="E575" s="503"/>
    </row>
    <row r="576" spans="3:5" s="500" customFormat="1" ht="13.5">
      <c r="C576" s="503"/>
      <c r="D576" s="503"/>
      <c r="E576" s="503"/>
    </row>
    <row r="577" spans="3:5" s="500" customFormat="1" ht="13.5">
      <c r="C577" s="503"/>
      <c r="D577" s="503"/>
      <c r="E577" s="503"/>
    </row>
    <row r="578" spans="3:5" s="500" customFormat="1" ht="13.5">
      <c r="C578" s="503"/>
      <c r="D578" s="503"/>
      <c r="E578" s="503"/>
    </row>
    <row r="579" spans="3:5" s="500" customFormat="1" ht="13.5">
      <c r="C579" s="503"/>
      <c r="D579" s="503"/>
      <c r="E579" s="503"/>
    </row>
    <row r="580" spans="3:5" s="500" customFormat="1" ht="13.5">
      <c r="C580" s="503"/>
      <c r="D580" s="503"/>
      <c r="E580" s="503"/>
    </row>
    <row r="581" spans="3:5" s="500" customFormat="1" ht="13.5">
      <c r="C581" s="503"/>
      <c r="D581" s="503"/>
      <c r="E581" s="503"/>
    </row>
    <row r="582" spans="3:5" s="500" customFormat="1" ht="13.5">
      <c r="C582" s="503"/>
      <c r="D582" s="503"/>
      <c r="E582" s="503"/>
    </row>
    <row r="583" spans="3:5" s="500" customFormat="1" ht="13.5">
      <c r="C583" s="503"/>
      <c r="D583" s="503"/>
      <c r="E583" s="503"/>
    </row>
    <row r="584" spans="3:5" s="500" customFormat="1" ht="13.5">
      <c r="C584" s="503"/>
      <c r="D584" s="503"/>
      <c r="E584" s="503"/>
    </row>
    <row r="585" spans="3:5" s="500" customFormat="1" ht="13.5">
      <c r="C585" s="503"/>
      <c r="D585" s="503"/>
      <c r="E585" s="503"/>
    </row>
    <row r="586" spans="3:5" s="500" customFormat="1" ht="13.5">
      <c r="C586" s="503"/>
      <c r="D586" s="503"/>
      <c r="E586" s="503"/>
    </row>
    <row r="587" spans="3:5" s="500" customFormat="1" ht="13.5">
      <c r="C587" s="503"/>
      <c r="D587" s="503"/>
      <c r="E587" s="503"/>
    </row>
    <row r="588" spans="3:5" s="500" customFormat="1" ht="13.5">
      <c r="C588" s="503"/>
      <c r="D588" s="503"/>
      <c r="E588" s="503"/>
    </row>
    <row r="589" spans="3:5" s="500" customFormat="1" ht="13.5">
      <c r="C589" s="503"/>
      <c r="D589" s="503"/>
      <c r="E589" s="503"/>
    </row>
    <row r="590" spans="3:5" s="500" customFormat="1" ht="13.5">
      <c r="C590" s="503"/>
      <c r="D590" s="503"/>
      <c r="E590" s="503"/>
    </row>
    <row r="591" spans="3:5" s="500" customFormat="1" ht="13.5">
      <c r="C591" s="503"/>
      <c r="D591" s="503"/>
      <c r="E591" s="503"/>
    </row>
    <row r="592" spans="3:5" s="500" customFormat="1" ht="13.5">
      <c r="C592" s="503"/>
      <c r="D592" s="503"/>
      <c r="E592" s="503"/>
    </row>
    <row r="593" spans="3:5" s="500" customFormat="1" ht="13.5">
      <c r="C593" s="503"/>
      <c r="D593" s="503"/>
      <c r="E593" s="503"/>
    </row>
    <row r="594" spans="3:5" s="500" customFormat="1" ht="13.5">
      <c r="C594" s="503"/>
      <c r="D594" s="503"/>
      <c r="E594" s="503"/>
    </row>
    <row r="595" spans="3:5" s="500" customFormat="1" ht="13.5">
      <c r="C595" s="503"/>
      <c r="D595" s="503"/>
      <c r="E595" s="503"/>
    </row>
    <row r="596" spans="3:5" s="500" customFormat="1" ht="13.5">
      <c r="C596" s="503"/>
      <c r="D596" s="503"/>
      <c r="E596" s="503"/>
    </row>
    <row r="597" spans="3:5" s="500" customFormat="1" ht="13.5">
      <c r="C597" s="503"/>
      <c r="D597" s="503"/>
      <c r="E597" s="503"/>
    </row>
    <row r="598" spans="3:5" s="500" customFormat="1" ht="13.5">
      <c r="C598" s="503"/>
      <c r="D598" s="503"/>
      <c r="E598" s="503"/>
    </row>
    <row r="599" spans="3:5" s="500" customFormat="1" ht="13.5">
      <c r="C599" s="503"/>
      <c r="D599" s="503"/>
      <c r="E599" s="503"/>
    </row>
    <row r="600" spans="3:5" s="500" customFormat="1" ht="13.5">
      <c r="C600" s="503"/>
      <c r="D600" s="503"/>
      <c r="E600" s="503"/>
    </row>
    <row r="601" spans="3:5" s="500" customFormat="1" ht="13.5">
      <c r="C601" s="503"/>
      <c r="D601" s="503"/>
      <c r="E601" s="503"/>
    </row>
    <row r="602" spans="3:5" s="500" customFormat="1" ht="13.5">
      <c r="C602" s="503"/>
      <c r="D602" s="503"/>
      <c r="E602" s="503"/>
    </row>
    <row r="603" spans="3:5" s="500" customFormat="1" ht="13.5">
      <c r="C603" s="503"/>
      <c r="D603" s="503"/>
      <c r="E603" s="503"/>
    </row>
    <row r="604" spans="3:5" s="500" customFormat="1" ht="13.5">
      <c r="C604" s="503"/>
      <c r="D604" s="503"/>
      <c r="E604" s="503"/>
    </row>
    <row r="605" spans="3:5" s="500" customFormat="1" ht="13.5">
      <c r="C605" s="503"/>
      <c r="D605" s="503"/>
      <c r="E605" s="503"/>
    </row>
    <row r="606" spans="3:5" s="500" customFormat="1" ht="13.5">
      <c r="C606" s="503"/>
      <c r="D606" s="503"/>
      <c r="E606" s="503"/>
    </row>
    <row r="607" spans="3:5" s="500" customFormat="1" ht="13.5">
      <c r="C607" s="503"/>
      <c r="D607" s="503"/>
      <c r="E607" s="503"/>
    </row>
    <row r="608" spans="3:5" s="500" customFormat="1" ht="13.5">
      <c r="C608" s="503"/>
      <c r="D608" s="503"/>
      <c r="E608" s="503"/>
    </row>
    <row r="609" spans="3:5" s="500" customFormat="1" ht="13.5">
      <c r="C609" s="503"/>
      <c r="D609" s="503"/>
      <c r="E609" s="503"/>
    </row>
    <row r="610" spans="3:5" s="500" customFormat="1" ht="13.5">
      <c r="C610" s="503"/>
      <c r="D610" s="503"/>
      <c r="E610" s="503"/>
    </row>
    <row r="611" spans="3:5" s="500" customFormat="1" ht="13.5">
      <c r="C611" s="503"/>
      <c r="D611" s="503"/>
      <c r="E611" s="503"/>
    </row>
    <row r="612" spans="3:5" s="500" customFormat="1" ht="13.5">
      <c r="C612" s="503"/>
      <c r="D612" s="503"/>
      <c r="E612" s="503"/>
    </row>
    <row r="613" spans="3:5" s="500" customFormat="1" ht="13.5">
      <c r="C613" s="503"/>
      <c r="D613" s="503"/>
      <c r="E613" s="503"/>
    </row>
    <row r="614" spans="3:5" s="500" customFormat="1" ht="13.5">
      <c r="C614" s="503"/>
      <c r="D614" s="503"/>
      <c r="E614" s="503"/>
    </row>
    <row r="615" spans="3:5" s="500" customFormat="1" ht="13.5">
      <c r="C615" s="503"/>
      <c r="D615" s="503"/>
      <c r="E615" s="503"/>
    </row>
    <row r="616" spans="3:5" s="500" customFormat="1" ht="13.5">
      <c r="C616" s="503"/>
      <c r="D616" s="503"/>
      <c r="E616" s="503"/>
    </row>
    <row r="617" spans="3:5" s="500" customFormat="1" ht="13.5">
      <c r="C617" s="503"/>
      <c r="D617" s="503"/>
      <c r="E617" s="503"/>
    </row>
    <row r="618" spans="3:5" s="500" customFormat="1" ht="13.5">
      <c r="C618" s="503"/>
      <c r="D618" s="503"/>
      <c r="E618" s="503"/>
    </row>
    <row r="619" spans="3:5" s="500" customFormat="1" ht="13.5">
      <c r="C619" s="503"/>
      <c r="D619" s="503"/>
      <c r="E619" s="503"/>
    </row>
    <row r="620" spans="3:5" s="500" customFormat="1" ht="13.5">
      <c r="C620" s="503"/>
      <c r="D620" s="503"/>
      <c r="E620" s="503"/>
    </row>
    <row r="621" spans="3:5" s="500" customFormat="1" ht="13.5">
      <c r="C621" s="503"/>
      <c r="D621" s="503"/>
      <c r="E621" s="503"/>
    </row>
    <row r="622" spans="3:5" s="500" customFormat="1" ht="13.5">
      <c r="C622" s="503"/>
      <c r="D622" s="503"/>
      <c r="E622" s="503"/>
    </row>
    <row r="623" spans="3:5" s="500" customFormat="1" ht="13.5">
      <c r="C623" s="503"/>
      <c r="D623" s="503"/>
      <c r="E623" s="503"/>
    </row>
    <row r="624" spans="3:5" s="500" customFormat="1" ht="13.5">
      <c r="C624" s="503"/>
      <c r="D624" s="503"/>
      <c r="E624" s="503"/>
    </row>
    <row r="625" spans="3:5" s="500" customFormat="1" ht="13.5">
      <c r="C625" s="503"/>
      <c r="D625" s="503"/>
      <c r="E625" s="503"/>
    </row>
    <row r="626" spans="3:5" s="500" customFormat="1" ht="13.5">
      <c r="C626" s="503"/>
      <c r="D626" s="503"/>
      <c r="E626" s="503"/>
    </row>
    <row r="627" spans="3:5" s="500" customFormat="1" ht="13.5">
      <c r="C627" s="503"/>
      <c r="D627" s="503"/>
      <c r="E627" s="503"/>
    </row>
    <row r="628" spans="3:5" s="500" customFormat="1" ht="13.5">
      <c r="C628" s="503"/>
      <c r="D628" s="503"/>
      <c r="E628" s="503"/>
    </row>
    <row r="629" spans="3:5" s="500" customFormat="1" ht="13.5">
      <c r="C629" s="503"/>
      <c r="D629" s="503"/>
      <c r="E629" s="503"/>
    </row>
    <row r="630" spans="3:5" s="500" customFormat="1" ht="13.5">
      <c r="C630" s="503"/>
      <c r="D630" s="503"/>
      <c r="E630" s="503"/>
    </row>
    <row r="631" spans="3:5" s="500" customFormat="1" ht="13.5">
      <c r="C631" s="503"/>
      <c r="D631" s="503"/>
      <c r="E631" s="503"/>
    </row>
    <row r="632" spans="3:5" s="500" customFormat="1" ht="13.5">
      <c r="C632" s="503"/>
      <c r="D632" s="503"/>
      <c r="E632" s="503"/>
    </row>
    <row r="633" spans="3:5" s="500" customFormat="1" ht="13.5">
      <c r="C633" s="503"/>
      <c r="D633" s="503"/>
      <c r="E633" s="503"/>
    </row>
    <row r="634" spans="3:5" s="500" customFormat="1" ht="13.5">
      <c r="C634" s="503"/>
      <c r="D634" s="503"/>
      <c r="E634" s="503"/>
    </row>
    <row r="635" spans="3:5" s="500" customFormat="1" ht="13.5">
      <c r="C635" s="503"/>
      <c r="D635" s="503"/>
      <c r="E635" s="503"/>
    </row>
    <row r="636" spans="3:5" s="500" customFormat="1" ht="13.5">
      <c r="C636" s="503"/>
      <c r="D636" s="503"/>
      <c r="E636" s="503"/>
    </row>
    <row r="637" spans="3:5" s="500" customFormat="1" ht="13.5">
      <c r="C637" s="503"/>
      <c r="D637" s="503"/>
      <c r="E637" s="503"/>
    </row>
    <row r="638" spans="3:5" s="500" customFormat="1" ht="13.5">
      <c r="C638" s="503"/>
      <c r="D638" s="503"/>
      <c r="E638" s="503"/>
    </row>
    <row r="639" spans="3:5" s="500" customFormat="1" ht="13.5">
      <c r="C639" s="503"/>
      <c r="D639" s="503"/>
      <c r="E639" s="503"/>
    </row>
    <row r="640" spans="3:5" s="500" customFormat="1" ht="13.5">
      <c r="C640" s="503"/>
      <c r="D640" s="503"/>
      <c r="E640" s="503"/>
    </row>
    <row r="641" spans="3:5" s="500" customFormat="1" ht="13.5">
      <c r="C641" s="503"/>
      <c r="D641" s="503"/>
      <c r="E641" s="503"/>
    </row>
    <row r="642" spans="3:5" s="500" customFormat="1" ht="13.5">
      <c r="C642" s="503"/>
      <c r="D642" s="503"/>
      <c r="E642" s="503"/>
    </row>
    <row r="643" spans="3:5" s="500" customFormat="1" ht="13.5">
      <c r="C643" s="503"/>
      <c r="D643" s="503"/>
      <c r="E643" s="503"/>
    </row>
    <row r="644" spans="3:5" s="500" customFormat="1" ht="13.5">
      <c r="C644" s="503"/>
      <c r="D644" s="503"/>
      <c r="E644" s="503"/>
    </row>
    <row r="645" spans="3:5" s="500" customFormat="1" ht="13.5">
      <c r="C645" s="503"/>
      <c r="D645" s="503"/>
      <c r="E645" s="503"/>
    </row>
    <row r="646" spans="3:5" s="500" customFormat="1" ht="13.5">
      <c r="C646" s="503"/>
      <c r="D646" s="503"/>
      <c r="E646" s="503"/>
    </row>
    <row r="647" spans="3:5" s="500" customFormat="1" ht="13.5">
      <c r="C647" s="503"/>
      <c r="D647" s="503"/>
      <c r="E647" s="503"/>
    </row>
    <row r="648" spans="3:5" s="500" customFormat="1" ht="13.5">
      <c r="C648" s="503"/>
      <c r="D648" s="503"/>
      <c r="E648" s="503"/>
    </row>
    <row r="649" spans="3:5" s="500" customFormat="1" ht="13.5">
      <c r="C649" s="503"/>
      <c r="D649" s="503"/>
      <c r="E649" s="503"/>
    </row>
    <row r="650" spans="3:5" s="500" customFormat="1" ht="13.5">
      <c r="C650" s="503"/>
      <c r="D650" s="503"/>
      <c r="E650" s="503"/>
    </row>
    <row r="651" spans="3:5" s="500" customFormat="1" ht="13.5">
      <c r="C651" s="503"/>
      <c r="D651" s="503"/>
      <c r="E651" s="503"/>
    </row>
    <row r="652" spans="3:5" s="500" customFormat="1" ht="13.5">
      <c r="C652" s="503"/>
      <c r="D652" s="503"/>
      <c r="E652" s="503"/>
    </row>
    <row r="653" spans="3:5" s="500" customFormat="1" ht="13.5">
      <c r="C653" s="503"/>
      <c r="D653" s="503"/>
      <c r="E653" s="503"/>
    </row>
    <row r="654" spans="3:5" s="500" customFormat="1" ht="13.5">
      <c r="C654" s="503"/>
      <c r="D654" s="503"/>
      <c r="E654" s="503"/>
    </row>
    <row r="655" spans="3:5" s="500" customFormat="1" ht="13.5">
      <c r="C655" s="503"/>
      <c r="D655" s="503"/>
      <c r="E655" s="503"/>
    </row>
    <row r="656" spans="3:5" s="500" customFormat="1" ht="13.5">
      <c r="C656" s="503"/>
      <c r="D656" s="503"/>
      <c r="E656" s="503"/>
    </row>
    <row r="657" spans="3:5" s="500" customFormat="1" ht="13.5">
      <c r="C657" s="503"/>
      <c r="D657" s="503"/>
      <c r="E657" s="503"/>
    </row>
    <row r="658" spans="3:5" s="500" customFormat="1" ht="13.5">
      <c r="C658" s="503"/>
      <c r="D658" s="503"/>
      <c r="E658" s="503"/>
    </row>
    <row r="659" spans="3:5" s="500" customFormat="1" ht="13.5">
      <c r="C659" s="503"/>
      <c r="D659" s="503"/>
      <c r="E659" s="503"/>
    </row>
    <row r="660" spans="3:5" s="500" customFormat="1" ht="13.5">
      <c r="C660" s="503"/>
      <c r="D660" s="503"/>
      <c r="E660" s="503"/>
    </row>
    <row r="661" spans="3:5" s="500" customFormat="1" ht="13.5">
      <c r="C661" s="503"/>
      <c r="D661" s="503"/>
      <c r="E661" s="503"/>
    </row>
    <row r="662" spans="3:5" s="500" customFormat="1" ht="13.5">
      <c r="C662" s="503"/>
      <c r="D662" s="503"/>
      <c r="E662" s="503"/>
    </row>
    <row r="663" spans="3:5" s="500" customFormat="1" ht="13.5">
      <c r="C663" s="503"/>
      <c r="D663" s="503"/>
      <c r="E663" s="503"/>
    </row>
    <row r="664" spans="3:5" s="500" customFormat="1" ht="13.5">
      <c r="C664" s="503"/>
      <c r="D664" s="503"/>
      <c r="E664" s="503"/>
    </row>
    <row r="665" spans="3:5" s="500" customFormat="1" ht="13.5">
      <c r="C665" s="503"/>
      <c r="D665" s="503"/>
      <c r="E665" s="503"/>
    </row>
    <row r="666" spans="3:5" s="500" customFormat="1" ht="13.5">
      <c r="C666" s="503"/>
      <c r="D666" s="503"/>
      <c r="E666" s="503"/>
    </row>
    <row r="667" spans="3:5" s="500" customFormat="1" ht="13.5">
      <c r="C667" s="503"/>
      <c r="D667" s="503"/>
      <c r="E667" s="503"/>
    </row>
    <row r="668" spans="3:5" s="500" customFormat="1" ht="13.5">
      <c r="C668" s="503"/>
      <c r="D668" s="503"/>
      <c r="E668" s="503"/>
    </row>
    <row r="669" spans="3:5" s="500" customFormat="1" ht="13.5">
      <c r="C669" s="503"/>
      <c r="D669" s="503"/>
      <c r="E669" s="503"/>
    </row>
    <row r="670" spans="3:5" s="500" customFormat="1" ht="13.5">
      <c r="C670" s="503"/>
      <c r="D670" s="503"/>
      <c r="E670" s="503"/>
    </row>
    <row r="671" spans="3:5" s="500" customFormat="1" ht="13.5">
      <c r="C671" s="503"/>
      <c r="D671" s="503"/>
      <c r="E671" s="503"/>
    </row>
    <row r="672" spans="3:5" s="500" customFormat="1" ht="13.5">
      <c r="C672" s="503"/>
      <c r="D672" s="503"/>
      <c r="E672" s="503"/>
    </row>
    <row r="673" spans="3:5" s="500" customFormat="1" ht="13.5">
      <c r="C673" s="503"/>
      <c r="D673" s="503"/>
      <c r="E673" s="503"/>
    </row>
    <row r="674" spans="3:5" s="500" customFormat="1" ht="13.5">
      <c r="C674" s="503"/>
      <c r="D674" s="503"/>
      <c r="E674" s="503"/>
    </row>
    <row r="675" spans="3:5" s="500" customFormat="1" ht="13.5">
      <c r="C675" s="503"/>
      <c r="D675" s="503"/>
      <c r="E675" s="503"/>
    </row>
    <row r="676" spans="3:5" s="500" customFormat="1" ht="13.5">
      <c r="C676" s="503"/>
      <c r="D676" s="503"/>
      <c r="E676" s="503"/>
    </row>
    <row r="677" spans="3:5" s="500" customFormat="1" ht="13.5">
      <c r="C677" s="503"/>
      <c r="D677" s="503"/>
      <c r="E677" s="503"/>
    </row>
    <row r="678" spans="3:5" s="500" customFormat="1" ht="13.5">
      <c r="C678" s="503"/>
      <c r="D678" s="503"/>
      <c r="E678" s="503"/>
    </row>
    <row r="679" spans="3:5" s="500" customFormat="1" ht="13.5">
      <c r="C679" s="503"/>
      <c r="D679" s="503"/>
      <c r="E679" s="503"/>
    </row>
    <row r="680" spans="3:5" s="500" customFormat="1" ht="13.5">
      <c r="C680" s="503"/>
      <c r="D680" s="503"/>
      <c r="E680" s="503"/>
    </row>
    <row r="681" spans="3:5" s="500" customFormat="1" ht="13.5">
      <c r="C681" s="503"/>
      <c r="D681" s="503"/>
      <c r="E681" s="503"/>
    </row>
    <row r="682" spans="3:5" s="500" customFormat="1" ht="13.5">
      <c r="C682" s="503"/>
      <c r="D682" s="503"/>
      <c r="E682" s="503"/>
    </row>
    <row r="683" spans="3:5" s="500" customFormat="1" ht="13.5">
      <c r="C683" s="503"/>
      <c r="D683" s="503"/>
      <c r="E683" s="503"/>
    </row>
    <row r="684" spans="3:5" s="500" customFormat="1" ht="13.5">
      <c r="C684" s="503"/>
      <c r="D684" s="503"/>
      <c r="E684" s="503"/>
    </row>
    <row r="685" spans="3:5" s="500" customFormat="1" ht="13.5">
      <c r="C685" s="503"/>
      <c r="D685" s="503"/>
      <c r="E685" s="503"/>
    </row>
    <row r="686" spans="3:5" s="500" customFormat="1" ht="13.5">
      <c r="C686" s="503"/>
      <c r="D686" s="503"/>
      <c r="E686" s="503"/>
    </row>
    <row r="687" spans="3:5" s="500" customFormat="1" ht="13.5">
      <c r="C687" s="503"/>
      <c r="D687" s="503"/>
      <c r="E687" s="503"/>
    </row>
    <row r="688" spans="3:5" s="500" customFormat="1" ht="13.5">
      <c r="C688" s="503"/>
      <c r="D688" s="503"/>
      <c r="E688" s="503"/>
    </row>
    <row r="689" spans="3:5" s="500" customFormat="1" ht="13.5">
      <c r="C689" s="503"/>
      <c r="D689" s="503"/>
      <c r="E689" s="503"/>
    </row>
    <row r="690" spans="3:5" s="500" customFormat="1" ht="13.5">
      <c r="C690" s="503"/>
      <c r="D690" s="503"/>
      <c r="E690" s="503"/>
    </row>
    <row r="691" spans="3:5" s="500" customFormat="1" ht="13.5">
      <c r="C691" s="503"/>
      <c r="D691" s="503"/>
      <c r="E691" s="503"/>
    </row>
    <row r="692" spans="3:5" s="500" customFormat="1" ht="13.5">
      <c r="C692" s="503"/>
      <c r="D692" s="503"/>
      <c r="E692" s="503"/>
    </row>
    <row r="693" spans="3:5" s="500" customFormat="1" ht="13.5">
      <c r="C693" s="503"/>
      <c r="D693" s="503"/>
      <c r="E693" s="503"/>
    </row>
    <row r="694" spans="3:5" s="500" customFormat="1" ht="13.5">
      <c r="C694" s="503"/>
      <c r="D694" s="503"/>
      <c r="E694" s="503"/>
    </row>
    <row r="695" spans="3:5" s="500" customFormat="1" ht="13.5">
      <c r="C695" s="503"/>
      <c r="D695" s="503"/>
      <c r="E695" s="503"/>
    </row>
    <row r="696" spans="3:5" s="500" customFormat="1" ht="13.5">
      <c r="C696" s="503"/>
      <c r="D696" s="503"/>
      <c r="E696" s="503"/>
    </row>
    <row r="697" spans="3:5" s="500" customFormat="1" ht="13.5">
      <c r="C697" s="503"/>
      <c r="D697" s="503"/>
      <c r="E697" s="503"/>
    </row>
    <row r="698" spans="3:5" s="500" customFormat="1" ht="13.5">
      <c r="C698" s="503"/>
      <c r="D698" s="503"/>
      <c r="E698" s="503"/>
    </row>
    <row r="699" spans="3:5" s="500" customFormat="1" ht="13.5">
      <c r="C699" s="503"/>
      <c r="D699" s="503"/>
      <c r="E699" s="503"/>
    </row>
    <row r="700" spans="3:5" s="500" customFormat="1" ht="13.5">
      <c r="C700" s="503"/>
      <c r="D700" s="503"/>
      <c r="E700" s="503"/>
    </row>
    <row r="701" spans="3:5" s="500" customFormat="1" ht="13.5">
      <c r="C701" s="503"/>
      <c r="D701" s="503"/>
      <c r="E701" s="503"/>
    </row>
    <row r="702" spans="3:5" s="500" customFormat="1" ht="13.5">
      <c r="C702" s="503"/>
      <c r="D702" s="503"/>
      <c r="E702" s="503"/>
    </row>
    <row r="703" spans="3:5" s="500" customFormat="1" ht="13.5">
      <c r="C703" s="503"/>
      <c r="D703" s="503"/>
      <c r="E703" s="503"/>
    </row>
    <row r="704" spans="3:5" s="500" customFormat="1" ht="13.5">
      <c r="C704" s="503"/>
      <c r="D704" s="503"/>
      <c r="E704" s="503"/>
    </row>
    <row r="705" spans="3:5" s="500" customFormat="1" ht="13.5">
      <c r="C705" s="503"/>
      <c r="D705" s="503"/>
      <c r="E705" s="503"/>
    </row>
    <row r="706" spans="3:5" s="500" customFormat="1" ht="13.5">
      <c r="C706" s="503"/>
      <c r="D706" s="503"/>
      <c r="E706" s="503"/>
    </row>
    <row r="707" spans="3:5" s="500" customFormat="1" ht="13.5">
      <c r="C707" s="503"/>
      <c r="D707" s="503"/>
      <c r="E707" s="503"/>
    </row>
    <row r="708" spans="3:5" s="500" customFormat="1" ht="13.5">
      <c r="C708" s="503"/>
      <c r="D708" s="503"/>
      <c r="E708" s="503"/>
    </row>
    <row r="709" spans="3:5" s="500" customFormat="1" ht="13.5">
      <c r="C709" s="503"/>
      <c r="D709" s="503"/>
      <c r="E709" s="503"/>
    </row>
    <row r="710" spans="3:5" s="500" customFormat="1" ht="13.5">
      <c r="C710" s="503"/>
      <c r="D710" s="503"/>
      <c r="E710" s="503"/>
    </row>
    <row r="711" spans="3:5" s="500" customFormat="1" ht="13.5">
      <c r="C711" s="503"/>
      <c r="D711" s="503"/>
      <c r="E711" s="503"/>
    </row>
    <row r="712" spans="3:5" s="500" customFormat="1" ht="13.5">
      <c r="C712" s="503"/>
      <c r="D712" s="503"/>
      <c r="E712" s="503"/>
    </row>
    <row r="713" spans="3:5" s="500" customFormat="1" ht="13.5">
      <c r="C713" s="503"/>
      <c r="D713" s="503"/>
      <c r="E713" s="503"/>
    </row>
    <row r="714" spans="3:5" s="500" customFormat="1" ht="13.5">
      <c r="C714" s="503"/>
      <c r="D714" s="503"/>
      <c r="E714" s="503"/>
    </row>
    <row r="715" spans="3:5" s="500" customFormat="1" ht="13.5">
      <c r="C715" s="503"/>
      <c r="D715" s="503"/>
      <c r="E715" s="503"/>
    </row>
    <row r="716" spans="3:5" s="500" customFormat="1" ht="13.5">
      <c r="C716" s="503"/>
      <c r="D716" s="503"/>
      <c r="E716" s="503"/>
    </row>
    <row r="717" spans="3:5" s="500" customFormat="1" ht="13.5">
      <c r="C717" s="503"/>
      <c r="D717" s="503"/>
      <c r="E717" s="503"/>
    </row>
    <row r="718" spans="3:5" s="500" customFormat="1" ht="13.5">
      <c r="C718" s="503"/>
      <c r="D718" s="503"/>
      <c r="E718" s="503"/>
    </row>
    <row r="719" spans="3:5" s="500" customFormat="1" ht="13.5">
      <c r="C719" s="503"/>
      <c r="D719" s="503"/>
      <c r="E719" s="503"/>
    </row>
    <row r="720" spans="3:5" s="500" customFormat="1" ht="13.5">
      <c r="C720" s="503"/>
      <c r="D720" s="503"/>
      <c r="E720" s="503"/>
    </row>
    <row r="721" spans="3:5" s="500" customFormat="1" ht="13.5">
      <c r="C721" s="503"/>
      <c r="D721" s="503"/>
      <c r="E721" s="503"/>
    </row>
    <row r="722" spans="3:5" s="500" customFormat="1" ht="13.5">
      <c r="C722" s="503"/>
      <c r="D722" s="503"/>
      <c r="E722" s="503"/>
    </row>
    <row r="723" spans="3:5" s="500" customFormat="1" ht="13.5">
      <c r="C723" s="503"/>
      <c r="D723" s="503"/>
      <c r="E723" s="503"/>
    </row>
    <row r="724" spans="3:5" s="500" customFormat="1" ht="13.5">
      <c r="C724" s="503"/>
      <c r="D724" s="503"/>
      <c r="E724" s="503"/>
    </row>
    <row r="725" spans="3:5" s="500" customFormat="1" ht="13.5">
      <c r="C725" s="503"/>
      <c r="D725" s="503"/>
      <c r="E725" s="503"/>
    </row>
    <row r="726" spans="3:5" s="500" customFormat="1" ht="13.5">
      <c r="C726" s="503"/>
      <c r="D726" s="503"/>
      <c r="E726" s="503"/>
    </row>
    <row r="727" spans="3:5" s="500" customFormat="1" ht="13.5">
      <c r="C727" s="503"/>
      <c r="D727" s="503"/>
      <c r="E727" s="503"/>
    </row>
    <row r="728" spans="3:5" s="500" customFormat="1" ht="13.5">
      <c r="C728" s="503"/>
      <c r="D728" s="503"/>
      <c r="E728" s="503"/>
    </row>
    <row r="729" spans="3:5" s="500" customFormat="1" ht="13.5">
      <c r="C729" s="503"/>
      <c r="D729" s="503"/>
      <c r="E729" s="503"/>
    </row>
    <row r="730" spans="3:5" s="500" customFormat="1" ht="13.5">
      <c r="C730" s="503"/>
      <c r="D730" s="503"/>
      <c r="E730" s="503"/>
    </row>
    <row r="731" spans="3:5" s="500" customFormat="1" ht="13.5">
      <c r="C731" s="503"/>
      <c r="D731" s="503"/>
      <c r="E731" s="503"/>
    </row>
    <row r="732" spans="3:5" s="500" customFormat="1" ht="13.5">
      <c r="C732" s="503"/>
      <c r="D732" s="503"/>
      <c r="E732" s="503"/>
    </row>
    <row r="733" spans="3:5" s="500" customFormat="1" ht="13.5">
      <c r="C733" s="503"/>
      <c r="D733" s="503"/>
      <c r="E733" s="503"/>
    </row>
    <row r="734" spans="3:5" s="500" customFormat="1" ht="13.5">
      <c r="C734" s="503"/>
      <c r="D734" s="503"/>
      <c r="E734" s="503"/>
    </row>
    <row r="735" spans="3:5" s="500" customFormat="1" ht="13.5">
      <c r="C735" s="503"/>
      <c r="D735" s="503"/>
      <c r="E735" s="503"/>
    </row>
    <row r="736" spans="3:5" s="500" customFormat="1" ht="13.5">
      <c r="C736" s="503"/>
      <c r="D736" s="503"/>
      <c r="E736" s="503"/>
    </row>
    <row r="737" spans="3:5" s="500" customFormat="1" ht="13.5">
      <c r="C737" s="503"/>
      <c r="D737" s="503"/>
      <c r="E737" s="503"/>
    </row>
    <row r="738" spans="3:5" s="500" customFormat="1" ht="13.5">
      <c r="C738" s="503"/>
      <c r="D738" s="503"/>
      <c r="E738" s="503"/>
    </row>
    <row r="739" spans="3:5" s="500" customFormat="1" ht="13.5">
      <c r="C739" s="503"/>
      <c r="D739" s="503"/>
      <c r="E739" s="503"/>
    </row>
    <row r="740" spans="3:5" s="500" customFormat="1" ht="13.5">
      <c r="C740" s="503"/>
      <c r="D740" s="503"/>
      <c r="E740" s="503"/>
    </row>
    <row r="741" spans="3:5" s="500" customFormat="1" ht="13.5">
      <c r="C741" s="503"/>
      <c r="D741" s="503"/>
      <c r="E741" s="503"/>
    </row>
    <row r="742" spans="3:5" s="500" customFormat="1" ht="13.5">
      <c r="C742" s="503"/>
      <c r="D742" s="503"/>
      <c r="E742" s="503"/>
    </row>
    <row r="743" spans="3:5" s="500" customFormat="1" ht="13.5">
      <c r="C743" s="503"/>
      <c r="D743" s="503"/>
      <c r="E743" s="503"/>
    </row>
    <row r="744" spans="3:5" s="500" customFormat="1" ht="13.5">
      <c r="C744" s="503"/>
      <c r="D744" s="503"/>
      <c r="E744" s="503"/>
    </row>
    <row r="745" spans="3:5" s="500" customFormat="1" ht="13.5">
      <c r="C745" s="503"/>
      <c r="D745" s="503"/>
      <c r="E745" s="503"/>
    </row>
    <row r="746" spans="3:5" s="500" customFormat="1" ht="13.5">
      <c r="C746" s="503"/>
      <c r="D746" s="503"/>
      <c r="E746" s="503"/>
    </row>
    <row r="747" spans="3:5" s="500" customFormat="1" ht="13.5">
      <c r="C747" s="503"/>
      <c r="D747" s="503"/>
      <c r="E747" s="503"/>
    </row>
    <row r="748" spans="3:5" s="500" customFormat="1" ht="13.5">
      <c r="C748" s="503"/>
      <c r="D748" s="503"/>
      <c r="E748" s="503"/>
    </row>
    <row r="749" spans="3:5" s="500" customFormat="1" ht="13.5">
      <c r="C749" s="503"/>
      <c r="D749" s="503"/>
      <c r="E749" s="503"/>
    </row>
    <row r="750" spans="3:5" s="500" customFormat="1" ht="13.5">
      <c r="C750" s="503"/>
      <c r="D750" s="503"/>
      <c r="E750" s="503"/>
    </row>
    <row r="751" spans="3:5" s="500" customFormat="1" ht="13.5">
      <c r="C751" s="503"/>
      <c r="D751" s="503"/>
      <c r="E751" s="503"/>
    </row>
    <row r="752" spans="3:5" s="500" customFormat="1" ht="13.5">
      <c r="C752" s="503"/>
      <c r="D752" s="503"/>
      <c r="E752" s="503"/>
    </row>
    <row r="753" spans="3:5" s="500" customFormat="1" ht="13.5">
      <c r="C753" s="503"/>
      <c r="D753" s="503"/>
      <c r="E753" s="503"/>
    </row>
    <row r="754" spans="3:5" s="500" customFormat="1" ht="13.5">
      <c r="C754" s="503"/>
      <c r="D754" s="503"/>
      <c r="E754" s="503"/>
    </row>
    <row r="755" spans="3:5" s="500" customFormat="1" ht="13.5">
      <c r="C755" s="503"/>
      <c r="D755" s="503"/>
      <c r="E755" s="503"/>
    </row>
    <row r="756" spans="3:5" s="500" customFormat="1" ht="13.5">
      <c r="C756" s="503"/>
      <c r="D756" s="503"/>
      <c r="E756" s="503"/>
    </row>
    <row r="757" spans="3:5" s="500" customFormat="1" ht="13.5">
      <c r="C757" s="503"/>
      <c r="D757" s="503"/>
      <c r="E757" s="503"/>
    </row>
    <row r="758" spans="3:5" s="500" customFormat="1" ht="13.5">
      <c r="C758" s="503"/>
      <c r="D758" s="503"/>
      <c r="E758" s="503"/>
    </row>
    <row r="759" spans="3:5" s="500" customFormat="1" ht="13.5">
      <c r="C759" s="503"/>
      <c r="D759" s="503"/>
      <c r="E759" s="503"/>
    </row>
    <row r="760" spans="3:5" s="500" customFormat="1" ht="13.5">
      <c r="C760" s="503"/>
      <c r="D760" s="503"/>
      <c r="E760" s="503"/>
    </row>
    <row r="761" spans="3:5" s="500" customFormat="1" ht="13.5">
      <c r="C761" s="503"/>
      <c r="D761" s="503"/>
      <c r="E761" s="503"/>
    </row>
    <row r="762" spans="3:5" s="500" customFormat="1" ht="13.5">
      <c r="C762" s="503"/>
      <c r="D762" s="503"/>
      <c r="E762" s="503"/>
    </row>
    <row r="763" spans="3:5" s="500" customFormat="1" ht="13.5">
      <c r="C763" s="503"/>
      <c r="D763" s="503"/>
      <c r="E763" s="503"/>
    </row>
    <row r="764" spans="3:5" s="500" customFormat="1" ht="13.5">
      <c r="C764" s="503"/>
      <c r="D764" s="503"/>
      <c r="E764" s="503"/>
    </row>
    <row r="765" spans="3:5" s="500" customFormat="1" ht="13.5">
      <c r="C765" s="503"/>
      <c r="D765" s="503"/>
      <c r="E765" s="503"/>
    </row>
    <row r="766" spans="3:5" s="500" customFormat="1" ht="13.5">
      <c r="C766" s="503"/>
      <c r="D766" s="503"/>
      <c r="E766" s="503"/>
    </row>
    <row r="767" spans="3:5" s="500" customFormat="1" ht="13.5">
      <c r="C767" s="503"/>
      <c r="D767" s="503"/>
      <c r="E767" s="503"/>
    </row>
    <row r="768" spans="3:5" s="500" customFormat="1" ht="13.5">
      <c r="C768" s="503"/>
      <c r="D768" s="503"/>
      <c r="E768" s="503"/>
    </row>
    <row r="769" spans="3:5" s="500" customFormat="1" ht="13.5">
      <c r="C769" s="503"/>
      <c r="D769" s="503"/>
      <c r="E769" s="503"/>
    </row>
    <row r="770" spans="3:5" s="500" customFormat="1" ht="13.5">
      <c r="C770" s="503"/>
      <c r="D770" s="503"/>
      <c r="E770" s="503"/>
    </row>
    <row r="771" spans="3:5" s="500" customFormat="1" ht="13.5">
      <c r="C771" s="503"/>
      <c r="D771" s="503"/>
      <c r="E771" s="503"/>
    </row>
    <row r="772" spans="3:5" s="500" customFormat="1" ht="13.5">
      <c r="C772" s="503"/>
      <c r="D772" s="503"/>
      <c r="E772" s="503"/>
    </row>
    <row r="773" spans="3:5" s="500" customFormat="1" ht="13.5">
      <c r="C773" s="503"/>
      <c r="D773" s="503"/>
      <c r="E773" s="503"/>
    </row>
    <row r="774" spans="3:5" s="500" customFormat="1" ht="13.5">
      <c r="C774" s="503"/>
      <c r="D774" s="503"/>
      <c r="E774" s="503"/>
    </row>
    <row r="775" spans="3:5" s="500" customFormat="1" ht="13.5">
      <c r="C775" s="503"/>
      <c r="D775" s="503"/>
      <c r="E775" s="503"/>
    </row>
    <row r="776" spans="3:5" s="500" customFormat="1" ht="13.5">
      <c r="C776" s="503"/>
      <c r="D776" s="503"/>
      <c r="E776" s="503"/>
    </row>
    <row r="777" spans="3:5" s="500" customFormat="1" ht="13.5">
      <c r="C777" s="503"/>
      <c r="D777" s="503"/>
      <c r="E777" s="503"/>
    </row>
    <row r="778" spans="3:5" s="500" customFormat="1" ht="13.5">
      <c r="C778" s="503"/>
      <c r="D778" s="503"/>
      <c r="E778" s="503"/>
    </row>
    <row r="779" spans="3:5" s="500" customFormat="1" ht="13.5">
      <c r="C779" s="503"/>
      <c r="D779" s="503"/>
      <c r="E779" s="503"/>
    </row>
    <row r="780" spans="3:5" s="500" customFormat="1" ht="13.5">
      <c r="C780" s="503"/>
      <c r="D780" s="503"/>
      <c r="E780" s="503"/>
    </row>
    <row r="781" spans="3:5" s="500" customFormat="1" ht="13.5">
      <c r="C781" s="503"/>
      <c r="D781" s="503"/>
      <c r="E781" s="503"/>
    </row>
    <row r="782" spans="3:5" s="500" customFormat="1" ht="13.5">
      <c r="C782" s="503"/>
      <c r="D782" s="503"/>
      <c r="E782" s="503"/>
    </row>
    <row r="783" spans="3:5" s="500" customFormat="1" ht="13.5">
      <c r="C783" s="503"/>
      <c r="D783" s="503"/>
      <c r="E783" s="503"/>
    </row>
    <row r="784" spans="3:5" s="500" customFormat="1" ht="13.5">
      <c r="C784" s="503"/>
      <c r="D784" s="503"/>
      <c r="E784" s="503"/>
    </row>
    <row r="785" spans="3:5" s="500" customFormat="1" ht="13.5">
      <c r="C785" s="503"/>
      <c r="D785" s="503"/>
      <c r="E785" s="503"/>
    </row>
    <row r="786" spans="3:5" s="500" customFormat="1" ht="13.5">
      <c r="C786" s="503"/>
      <c r="D786" s="503"/>
      <c r="E786" s="503"/>
    </row>
    <row r="787" spans="3:5" s="500" customFormat="1" ht="13.5">
      <c r="C787" s="503"/>
      <c r="D787" s="503"/>
      <c r="E787" s="503"/>
    </row>
    <row r="788" spans="3:5" s="500" customFormat="1" ht="13.5">
      <c r="C788" s="503"/>
      <c r="D788" s="503"/>
      <c r="E788" s="503"/>
    </row>
    <row r="789" spans="3:5" s="500" customFormat="1" ht="13.5">
      <c r="C789" s="503"/>
      <c r="D789" s="503"/>
      <c r="E789" s="503"/>
    </row>
    <row r="790" spans="3:5" s="500" customFormat="1" ht="13.5">
      <c r="C790" s="503"/>
      <c r="D790" s="503"/>
      <c r="E790" s="503"/>
    </row>
    <row r="791" spans="3:5" s="500" customFormat="1" ht="13.5">
      <c r="C791" s="503"/>
      <c r="D791" s="503"/>
      <c r="E791" s="503"/>
    </row>
    <row r="792" spans="3:5" s="500" customFormat="1" ht="13.5">
      <c r="C792" s="503"/>
      <c r="D792" s="503"/>
      <c r="E792" s="503"/>
    </row>
    <row r="793" spans="3:5" s="500" customFormat="1" ht="13.5">
      <c r="C793" s="503"/>
      <c r="D793" s="503"/>
      <c r="E793" s="503"/>
    </row>
    <row r="794" spans="3:5" s="500" customFormat="1" ht="13.5">
      <c r="C794" s="503"/>
      <c r="D794" s="503"/>
      <c r="E794" s="503"/>
    </row>
    <row r="795" spans="3:5" s="500" customFormat="1" ht="13.5">
      <c r="C795" s="503"/>
      <c r="D795" s="503"/>
      <c r="E795" s="503"/>
    </row>
    <row r="796" spans="3:5" s="500" customFormat="1" ht="13.5">
      <c r="C796" s="503"/>
      <c r="D796" s="503"/>
      <c r="E796" s="503"/>
    </row>
    <row r="797" spans="3:5" s="500" customFormat="1" ht="13.5">
      <c r="C797" s="503"/>
      <c r="D797" s="503"/>
      <c r="E797" s="503"/>
    </row>
    <row r="798" spans="3:5" s="500" customFormat="1" ht="13.5">
      <c r="C798" s="503"/>
      <c r="D798" s="503"/>
      <c r="E798" s="503"/>
    </row>
    <row r="799" spans="3:5" s="500" customFormat="1" ht="13.5">
      <c r="C799" s="503"/>
      <c r="D799" s="503"/>
      <c r="E799" s="503"/>
    </row>
    <row r="800" spans="3:5" s="500" customFormat="1" ht="13.5">
      <c r="C800" s="503"/>
      <c r="D800" s="503"/>
      <c r="E800" s="503"/>
    </row>
    <row r="801" spans="3:5" s="500" customFormat="1" ht="13.5">
      <c r="C801" s="503"/>
      <c r="D801" s="503"/>
      <c r="E801" s="503"/>
    </row>
    <row r="802" spans="3:5" s="500" customFormat="1" ht="13.5">
      <c r="C802" s="503"/>
      <c r="D802" s="503"/>
      <c r="E802" s="503"/>
    </row>
    <row r="803" spans="3:5" s="500" customFormat="1" ht="13.5">
      <c r="C803" s="503"/>
      <c r="D803" s="503"/>
      <c r="E803" s="503"/>
    </row>
    <row r="804" spans="3:5" s="500" customFormat="1" ht="13.5">
      <c r="C804" s="503"/>
      <c r="D804" s="503"/>
      <c r="E804" s="503"/>
    </row>
    <row r="805" spans="3:5" s="500" customFormat="1" ht="13.5">
      <c r="C805" s="503"/>
      <c r="D805" s="503"/>
      <c r="E805" s="503"/>
    </row>
    <row r="806" spans="3:5" s="500" customFormat="1" ht="13.5">
      <c r="C806" s="503"/>
      <c r="D806" s="503"/>
      <c r="E806" s="503"/>
    </row>
    <row r="807" spans="3:5" s="500" customFormat="1" ht="13.5">
      <c r="C807" s="503"/>
      <c r="D807" s="503"/>
      <c r="E807" s="503"/>
    </row>
    <row r="808" spans="3:5" s="500" customFormat="1" ht="13.5">
      <c r="C808" s="503"/>
      <c r="D808" s="503"/>
      <c r="E808" s="503"/>
    </row>
    <row r="809" spans="3:5" s="500" customFormat="1" ht="13.5">
      <c r="C809" s="503"/>
      <c r="D809" s="503"/>
      <c r="E809" s="503"/>
    </row>
    <row r="810" spans="3:5" s="500" customFormat="1" ht="13.5">
      <c r="C810" s="503"/>
      <c r="D810" s="503"/>
      <c r="E810" s="503"/>
    </row>
    <row r="811" spans="3:5" s="500" customFormat="1" ht="13.5">
      <c r="C811" s="503"/>
      <c r="D811" s="503"/>
      <c r="E811" s="503"/>
    </row>
    <row r="812" spans="3:5" s="500" customFormat="1" ht="13.5">
      <c r="C812" s="503"/>
      <c r="D812" s="503"/>
      <c r="E812" s="503"/>
    </row>
    <row r="813" spans="3:5" s="500" customFormat="1" ht="13.5">
      <c r="C813" s="503"/>
      <c r="D813" s="503"/>
      <c r="E813" s="503"/>
    </row>
    <row r="814" spans="3:5" s="500" customFormat="1" ht="13.5">
      <c r="C814" s="503"/>
      <c r="D814" s="503"/>
      <c r="E814" s="503"/>
    </row>
    <row r="815" spans="3:5" s="500" customFormat="1" ht="13.5">
      <c r="C815" s="503"/>
      <c r="D815" s="503"/>
      <c r="E815" s="503"/>
    </row>
    <row r="816" spans="3:5" s="500" customFormat="1" ht="13.5">
      <c r="C816" s="503"/>
      <c r="D816" s="503"/>
      <c r="E816" s="503"/>
    </row>
    <row r="817" spans="3:5" s="500" customFormat="1" ht="13.5">
      <c r="C817" s="503"/>
      <c r="D817" s="503"/>
      <c r="E817" s="503"/>
    </row>
    <row r="818" spans="3:5" s="500" customFormat="1" ht="13.5">
      <c r="C818" s="503"/>
      <c r="D818" s="503"/>
      <c r="E818" s="503"/>
    </row>
    <row r="819" spans="3:5" s="500" customFormat="1" ht="13.5">
      <c r="C819" s="503"/>
      <c r="D819" s="503"/>
      <c r="E819" s="503"/>
    </row>
    <row r="820" spans="3:5" s="500" customFormat="1" ht="13.5">
      <c r="C820" s="503"/>
      <c r="D820" s="503"/>
      <c r="E820" s="503"/>
    </row>
    <row r="821" spans="3:5" s="500" customFormat="1" ht="13.5">
      <c r="C821" s="503"/>
      <c r="D821" s="503"/>
      <c r="E821" s="503"/>
    </row>
    <row r="822" spans="3:5" s="500" customFormat="1" ht="13.5">
      <c r="C822" s="503"/>
      <c r="D822" s="503"/>
      <c r="E822" s="503"/>
    </row>
    <row r="823" spans="3:5" s="500" customFormat="1" ht="13.5">
      <c r="C823" s="503"/>
      <c r="D823" s="503"/>
      <c r="E823" s="503"/>
    </row>
    <row r="824" spans="3:5" s="500" customFormat="1" ht="13.5">
      <c r="C824" s="503"/>
      <c r="D824" s="503"/>
      <c r="E824" s="503"/>
    </row>
    <row r="825" spans="3:5" s="500" customFormat="1" ht="13.5">
      <c r="C825" s="503"/>
      <c r="D825" s="503"/>
      <c r="E825" s="503"/>
    </row>
    <row r="826" spans="3:5" s="500" customFormat="1" ht="13.5">
      <c r="C826" s="503"/>
      <c r="D826" s="503"/>
      <c r="E826" s="503"/>
    </row>
    <row r="827" spans="3:5" s="500" customFormat="1" ht="13.5">
      <c r="C827" s="503"/>
      <c r="D827" s="503"/>
      <c r="E827" s="503"/>
    </row>
    <row r="828" spans="3:5" s="500" customFormat="1" ht="13.5">
      <c r="C828" s="503"/>
      <c r="D828" s="503"/>
      <c r="E828" s="503"/>
    </row>
    <row r="829" spans="3:5" s="500" customFormat="1" ht="13.5">
      <c r="C829" s="503"/>
      <c r="D829" s="503"/>
      <c r="E829" s="503"/>
    </row>
    <row r="830" spans="3:5" s="500" customFormat="1" ht="13.5">
      <c r="C830" s="503"/>
      <c r="D830" s="503"/>
      <c r="E830" s="503"/>
    </row>
    <row r="831" spans="3:5" s="500" customFormat="1" ht="13.5">
      <c r="C831" s="503"/>
      <c r="D831" s="503"/>
      <c r="E831" s="503"/>
    </row>
    <row r="832" spans="3:5" s="500" customFormat="1" ht="13.5">
      <c r="C832" s="503"/>
      <c r="D832" s="503"/>
      <c r="E832" s="503"/>
    </row>
    <row r="833" spans="3:5" s="500" customFormat="1" ht="13.5">
      <c r="C833" s="503"/>
      <c r="D833" s="503"/>
      <c r="E833" s="503"/>
    </row>
    <row r="834" spans="3:5" s="500" customFormat="1" ht="13.5">
      <c r="C834" s="503"/>
      <c r="D834" s="503"/>
      <c r="E834" s="503"/>
    </row>
    <row r="835" spans="3:5" s="500" customFormat="1" ht="13.5">
      <c r="C835" s="503"/>
      <c r="D835" s="503"/>
      <c r="E835" s="503"/>
    </row>
    <row r="836" spans="3:5" s="500" customFormat="1" ht="13.5">
      <c r="C836" s="503"/>
      <c r="D836" s="503"/>
      <c r="E836" s="503"/>
    </row>
    <row r="837" spans="3:5" s="500" customFormat="1" ht="13.5">
      <c r="C837" s="503"/>
      <c r="D837" s="503"/>
      <c r="E837" s="503"/>
    </row>
    <row r="838" spans="3:5" s="500" customFormat="1" ht="13.5">
      <c r="C838" s="503"/>
      <c r="D838" s="503"/>
      <c r="E838" s="503"/>
    </row>
    <row r="839" spans="3:5" s="500" customFormat="1" ht="13.5">
      <c r="C839" s="503"/>
      <c r="D839" s="503"/>
      <c r="E839" s="503"/>
    </row>
    <row r="840" spans="3:5" s="500" customFormat="1" ht="13.5">
      <c r="C840" s="503"/>
      <c r="D840" s="503"/>
      <c r="E840" s="503"/>
    </row>
    <row r="841" spans="3:5" s="500" customFormat="1" ht="13.5">
      <c r="C841" s="503"/>
      <c r="D841" s="503"/>
      <c r="E841" s="503"/>
    </row>
    <row r="842" spans="3:5" s="500" customFormat="1" ht="13.5">
      <c r="C842" s="503"/>
      <c r="D842" s="503"/>
      <c r="E842" s="503"/>
    </row>
    <row r="843" spans="3:5" s="500" customFormat="1" ht="13.5">
      <c r="C843" s="503"/>
      <c r="D843" s="503"/>
      <c r="E843" s="503"/>
    </row>
    <row r="844" spans="3:5" s="500" customFormat="1" ht="13.5">
      <c r="C844" s="503"/>
      <c r="D844" s="503"/>
      <c r="E844" s="503"/>
    </row>
    <row r="845" spans="3:5" s="500" customFormat="1" ht="13.5">
      <c r="C845" s="503"/>
      <c r="D845" s="503"/>
      <c r="E845" s="503"/>
    </row>
    <row r="846" spans="3:5" s="500" customFormat="1" ht="13.5">
      <c r="C846" s="503"/>
      <c r="D846" s="503"/>
      <c r="E846" s="503"/>
    </row>
    <row r="847" spans="3:5" s="500" customFormat="1" ht="13.5">
      <c r="C847" s="503"/>
      <c r="D847" s="503"/>
      <c r="E847" s="503"/>
    </row>
    <row r="848" spans="3:5" s="500" customFormat="1" ht="13.5">
      <c r="C848" s="503"/>
      <c r="D848" s="503"/>
      <c r="E848" s="503"/>
    </row>
    <row r="849" spans="3:5" s="500" customFormat="1" ht="13.5">
      <c r="C849" s="503"/>
      <c r="D849" s="503"/>
      <c r="E849" s="503"/>
    </row>
    <row r="850" spans="3:5" s="500" customFormat="1" ht="13.5">
      <c r="C850" s="503"/>
      <c r="D850" s="503"/>
      <c r="E850" s="503"/>
    </row>
    <row r="851" spans="3:5" s="500" customFormat="1" ht="13.5">
      <c r="C851" s="503"/>
      <c r="D851" s="503"/>
      <c r="E851" s="503"/>
    </row>
    <row r="852" spans="3:5" s="500" customFormat="1" ht="13.5">
      <c r="C852" s="503"/>
      <c r="D852" s="503"/>
      <c r="E852" s="503"/>
    </row>
    <row r="853" spans="3:5" s="500" customFormat="1" ht="13.5">
      <c r="C853" s="503"/>
      <c r="D853" s="503"/>
      <c r="E853" s="503"/>
    </row>
    <row r="854" spans="3:5" s="500" customFormat="1" ht="13.5">
      <c r="C854" s="503"/>
      <c r="D854" s="503"/>
      <c r="E854" s="503"/>
    </row>
    <row r="855" spans="3:5" s="500" customFormat="1" ht="13.5">
      <c r="C855" s="503"/>
      <c r="D855" s="503"/>
      <c r="E855" s="503"/>
    </row>
    <row r="856" spans="3:5" s="500" customFormat="1" ht="13.5">
      <c r="C856" s="503"/>
      <c r="D856" s="503"/>
      <c r="E856" s="503"/>
    </row>
    <row r="857" spans="3:5" s="500" customFormat="1" ht="13.5">
      <c r="C857" s="503"/>
      <c r="D857" s="503"/>
      <c r="E857" s="503"/>
    </row>
    <row r="858" spans="3:5" s="500" customFormat="1" ht="13.5">
      <c r="C858" s="503"/>
      <c r="D858" s="503"/>
      <c r="E858" s="503"/>
    </row>
    <row r="859" spans="3:5" s="500" customFormat="1" ht="13.5">
      <c r="C859" s="503"/>
      <c r="D859" s="503"/>
      <c r="E859" s="503"/>
    </row>
    <row r="860" spans="3:5" s="500" customFormat="1" ht="13.5">
      <c r="C860" s="503"/>
      <c r="D860" s="503"/>
      <c r="E860" s="503"/>
    </row>
    <row r="861" spans="3:5" s="500" customFormat="1" ht="13.5">
      <c r="C861" s="503"/>
      <c r="D861" s="503"/>
      <c r="E861" s="503"/>
    </row>
    <row r="862" spans="3:5" s="500" customFormat="1" ht="13.5">
      <c r="C862" s="503"/>
      <c r="D862" s="503"/>
      <c r="E862" s="503"/>
    </row>
    <row r="863" spans="3:5" s="500" customFormat="1" ht="13.5">
      <c r="C863" s="503"/>
      <c r="D863" s="503"/>
      <c r="E863" s="503"/>
    </row>
    <row r="864" spans="3:5" s="500" customFormat="1" ht="13.5">
      <c r="C864" s="503"/>
      <c r="D864" s="503"/>
      <c r="E864" s="503"/>
    </row>
    <row r="865" spans="3:5" s="500" customFormat="1" ht="13.5">
      <c r="C865" s="503"/>
      <c r="D865" s="503"/>
      <c r="E865" s="503"/>
    </row>
    <row r="866" spans="3:5" s="500" customFormat="1" ht="13.5">
      <c r="C866" s="503"/>
      <c r="D866" s="503"/>
      <c r="E866" s="503"/>
    </row>
    <row r="867" spans="3:5" s="500" customFormat="1" ht="13.5">
      <c r="C867" s="503"/>
      <c r="D867" s="503"/>
      <c r="E867" s="503"/>
    </row>
    <row r="868" spans="3:5" s="500" customFormat="1" ht="13.5">
      <c r="C868" s="503"/>
      <c r="D868" s="503"/>
      <c r="E868" s="503"/>
    </row>
    <row r="869" spans="3:5" s="500" customFormat="1" ht="13.5">
      <c r="C869" s="503"/>
      <c r="D869" s="503"/>
      <c r="E869" s="503"/>
    </row>
    <row r="870" spans="3:5" s="500" customFormat="1" ht="13.5">
      <c r="C870" s="503"/>
      <c r="D870" s="503"/>
      <c r="E870" s="503"/>
    </row>
    <row r="871" spans="3:5" s="500" customFormat="1" ht="13.5">
      <c r="C871" s="503"/>
      <c r="D871" s="503"/>
      <c r="E871" s="503"/>
    </row>
    <row r="872" spans="3:5" s="500" customFormat="1" ht="13.5">
      <c r="C872" s="503"/>
      <c r="D872" s="503"/>
      <c r="E872" s="503"/>
    </row>
    <row r="873" spans="3:5" s="500" customFormat="1" ht="13.5">
      <c r="C873" s="503"/>
      <c r="D873" s="503"/>
      <c r="E873" s="503"/>
    </row>
    <row r="874" spans="3:5" s="500" customFormat="1" ht="13.5">
      <c r="C874" s="503"/>
      <c r="D874" s="503"/>
      <c r="E874" s="503"/>
    </row>
    <row r="875" spans="3:5" s="500" customFormat="1" ht="13.5">
      <c r="C875" s="503"/>
      <c r="D875" s="503"/>
      <c r="E875" s="503"/>
    </row>
    <row r="876" spans="3:5" s="500" customFormat="1" ht="13.5">
      <c r="C876" s="503"/>
      <c r="D876" s="503"/>
      <c r="E876" s="503"/>
    </row>
    <row r="877" spans="3:5" s="500" customFormat="1" ht="13.5">
      <c r="C877" s="503"/>
      <c r="D877" s="503"/>
      <c r="E877" s="503"/>
    </row>
    <row r="878" spans="3:5" s="500" customFormat="1" ht="13.5">
      <c r="C878" s="503"/>
      <c r="D878" s="503"/>
      <c r="E878" s="503"/>
    </row>
    <row r="879" spans="3:5" s="500" customFormat="1" ht="13.5">
      <c r="C879" s="503"/>
      <c r="D879" s="503"/>
      <c r="E879" s="503"/>
    </row>
    <row r="880" spans="3:5" s="500" customFormat="1" ht="13.5">
      <c r="C880" s="503"/>
      <c r="D880" s="503"/>
      <c r="E880" s="503"/>
    </row>
    <row r="881" spans="3:5" s="500" customFormat="1" ht="13.5">
      <c r="C881" s="503"/>
      <c r="D881" s="503"/>
      <c r="E881" s="503"/>
    </row>
    <row r="882" spans="3:5" s="500" customFormat="1" ht="13.5">
      <c r="C882" s="503"/>
      <c r="D882" s="503"/>
      <c r="E882" s="503"/>
    </row>
    <row r="883" spans="3:5" s="500" customFormat="1" ht="13.5">
      <c r="C883" s="503"/>
      <c r="D883" s="503"/>
      <c r="E883" s="503"/>
    </row>
    <row r="884" spans="3:5" s="500" customFormat="1" ht="13.5">
      <c r="C884" s="503"/>
      <c r="D884" s="503"/>
      <c r="E884" s="503"/>
    </row>
    <row r="885" spans="3:5" s="500" customFormat="1" ht="13.5">
      <c r="C885" s="503"/>
      <c r="D885" s="503"/>
      <c r="E885" s="503"/>
    </row>
    <row r="886" spans="3:5" s="500" customFormat="1" ht="13.5">
      <c r="C886" s="503"/>
      <c r="D886" s="503"/>
      <c r="E886" s="503"/>
    </row>
    <row r="887" spans="3:5" s="500" customFormat="1" ht="13.5">
      <c r="C887" s="503"/>
      <c r="D887" s="503"/>
      <c r="E887" s="503"/>
    </row>
    <row r="888" spans="3:5" s="500" customFormat="1" ht="13.5">
      <c r="C888" s="503"/>
      <c r="D888" s="503"/>
      <c r="E888" s="503"/>
    </row>
    <row r="889" spans="3:5" s="500" customFormat="1" ht="13.5">
      <c r="C889" s="503"/>
      <c r="D889" s="503"/>
      <c r="E889" s="503"/>
    </row>
    <row r="890" spans="3:5" s="500" customFormat="1" ht="13.5">
      <c r="C890" s="503"/>
      <c r="D890" s="503"/>
      <c r="E890" s="503"/>
    </row>
    <row r="891" spans="3:5" s="500" customFormat="1" ht="13.5">
      <c r="C891" s="503"/>
      <c r="D891" s="503"/>
      <c r="E891" s="503"/>
    </row>
    <row r="892" spans="3:5" s="500" customFormat="1" ht="13.5">
      <c r="C892" s="503"/>
      <c r="D892" s="503"/>
      <c r="E892" s="503"/>
    </row>
    <row r="893" spans="3:5" s="500" customFormat="1" ht="13.5">
      <c r="C893" s="503"/>
      <c r="D893" s="503"/>
      <c r="E893" s="503"/>
    </row>
    <row r="894" spans="3:5" s="500" customFormat="1" ht="13.5">
      <c r="C894" s="503"/>
      <c r="D894" s="503"/>
      <c r="E894" s="503"/>
    </row>
    <row r="895" spans="3:5" s="500" customFormat="1" ht="13.5">
      <c r="C895" s="503"/>
      <c r="D895" s="503"/>
      <c r="E895" s="503"/>
    </row>
    <row r="896" spans="3:5" s="500" customFormat="1" ht="13.5">
      <c r="C896" s="503"/>
      <c r="D896" s="503"/>
      <c r="E896" s="503"/>
    </row>
    <row r="897" spans="3:5" s="500" customFormat="1" ht="13.5">
      <c r="C897" s="503"/>
      <c r="D897" s="503"/>
      <c r="E897" s="503"/>
    </row>
    <row r="898" spans="3:5" s="500" customFormat="1" ht="13.5">
      <c r="C898" s="503"/>
      <c r="D898" s="503"/>
      <c r="E898" s="503"/>
    </row>
    <row r="899" spans="3:5" s="500" customFormat="1" ht="13.5">
      <c r="C899" s="503"/>
      <c r="D899" s="503"/>
      <c r="E899" s="503"/>
    </row>
    <row r="900" spans="3:5" s="500" customFormat="1" ht="13.5">
      <c r="C900" s="503"/>
      <c r="D900" s="503"/>
      <c r="E900" s="503"/>
    </row>
    <row r="901" spans="3:5" s="500" customFormat="1" ht="13.5">
      <c r="C901" s="503"/>
      <c r="D901" s="503"/>
      <c r="E901" s="503"/>
    </row>
    <row r="902" spans="3:5" s="500" customFormat="1" ht="13.5">
      <c r="C902" s="503"/>
      <c r="D902" s="503"/>
      <c r="E902" s="503"/>
    </row>
    <row r="903" spans="3:5" s="500" customFormat="1" ht="13.5">
      <c r="C903" s="503"/>
      <c r="D903" s="503"/>
      <c r="E903" s="503"/>
    </row>
    <row r="904" spans="3:5" s="500" customFormat="1" ht="13.5">
      <c r="C904" s="503"/>
      <c r="D904" s="503"/>
      <c r="E904" s="503"/>
    </row>
    <row r="905" spans="3:5" s="500" customFormat="1" ht="13.5">
      <c r="C905" s="503"/>
      <c r="D905" s="503"/>
      <c r="E905" s="503"/>
    </row>
    <row r="906" spans="3:5" s="500" customFormat="1" ht="13.5">
      <c r="C906" s="503"/>
      <c r="D906" s="503"/>
      <c r="E906" s="503"/>
    </row>
    <row r="907" spans="3:5" s="500" customFormat="1" ht="13.5">
      <c r="C907" s="503"/>
      <c r="D907" s="503"/>
      <c r="E907" s="503"/>
    </row>
    <row r="908" spans="3:5" s="500" customFormat="1" ht="13.5">
      <c r="C908" s="503"/>
      <c r="D908" s="503"/>
      <c r="E908" s="503"/>
    </row>
    <row r="909" spans="3:5" s="500" customFormat="1" ht="13.5">
      <c r="C909" s="503"/>
      <c r="D909" s="503"/>
      <c r="E909" s="503"/>
    </row>
    <row r="910" spans="3:5" s="500" customFormat="1" ht="13.5">
      <c r="C910" s="503"/>
      <c r="D910" s="503"/>
      <c r="E910" s="503"/>
    </row>
    <row r="911" spans="3:5" s="500" customFormat="1" ht="13.5">
      <c r="C911" s="503"/>
      <c r="D911" s="503"/>
      <c r="E911" s="503"/>
    </row>
    <row r="912" spans="3:5" s="500" customFormat="1" ht="13.5">
      <c r="C912" s="503"/>
      <c r="D912" s="503"/>
      <c r="E912" s="503"/>
    </row>
    <row r="913" spans="3:5" s="500" customFormat="1" ht="13.5">
      <c r="C913" s="503"/>
      <c r="D913" s="503"/>
      <c r="E913" s="503"/>
    </row>
    <row r="914" spans="3:5" s="500" customFormat="1" ht="13.5">
      <c r="C914" s="503"/>
      <c r="D914" s="503"/>
      <c r="E914" s="503"/>
    </row>
    <row r="915" spans="3:5" s="500" customFormat="1" ht="13.5">
      <c r="C915" s="503"/>
      <c r="D915" s="503"/>
      <c r="E915" s="503"/>
    </row>
    <row r="916" spans="3:5" s="500" customFormat="1" ht="13.5">
      <c r="C916" s="503"/>
      <c r="D916" s="503"/>
      <c r="E916" s="503"/>
    </row>
    <row r="917" spans="3:5" s="500" customFormat="1" ht="13.5">
      <c r="C917" s="503"/>
      <c r="D917" s="503"/>
      <c r="E917" s="503"/>
    </row>
    <row r="918" spans="3:5" s="500" customFormat="1" ht="13.5">
      <c r="C918" s="503"/>
      <c r="D918" s="503"/>
      <c r="E918" s="503"/>
    </row>
    <row r="919" spans="3:5" s="500" customFormat="1" ht="13.5">
      <c r="C919" s="503"/>
      <c r="D919" s="503"/>
      <c r="E919" s="503"/>
    </row>
    <row r="920" spans="3:5" s="500" customFormat="1" ht="13.5">
      <c r="C920" s="503"/>
      <c r="D920" s="503"/>
      <c r="E920" s="503"/>
    </row>
    <row r="921" spans="3:5" s="500" customFormat="1" ht="13.5">
      <c r="C921" s="503"/>
      <c r="D921" s="503"/>
      <c r="E921" s="503"/>
    </row>
    <row r="922" spans="3:5" s="500" customFormat="1" ht="13.5">
      <c r="C922" s="503"/>
      <c r="D922" s="503"/>
      <c r="E922" s="503"/>
    </row>
    <row r="923" spans="3:5" s="500" customFormat="1" ht="13.5">
      <c r="C923" s="503"/>
      <c r="D923" s="503"/>
      <c r="E923" s="503"/>
    </row>
    <row r="924" spans="3:5" s="500" customFormat="1" ht="13.5">
      <c r="C924" s="503"/>
      <c r="D924" s="503"/>
      <c r="E924" s="503"/>
    </row>
    <row r="925" spans="3:5" s="500" customFormat="1" ht="13.5">
      <c r="C925" s="503"/>
      <c r="D925" s="503"/>
      <c r="E925" s="503"/>
    </row>
    <row r="926" spans="3:5" s="500" customFormat="1" ht="13.5">
      <c r="C926" s="503"/>
      <c r="D926" s="503"/>
      <c r="E926" s="503"/>
    </row>
    <row r="927" spans="3:5" s="500" customFormat="1" ht="13.5">
      <c r="C927" s="503"/>
      <c r="D927" s="503"/>
      <c r="E927" s="503"/>
    </row>
    <row r="928" spans="3:5" s="500" customFormat="1" ht="13.5">
      <c r="C928" s="503"/>
      <c r="D928" s="503"/>
      <c r="E928" s="503"/>
    </row>
    <row r="929" spans="3:5" s="500" customFormat="1" ht="13.5">
      <c r="C929" s="503"/>
      <c r="D929" s="503"/>
      <c r="E929" s="503"/>
    </row>
    <row r="930" spans="3:5" s="500" customFormat="1" ht="13.5">
      <c r="C930" s="503"/>
      <c r="D930" s="503"/>
      <c r="E930" s="503"/>
    </row>
    <row r="931" spans="3:5" s="500" customFormat="1" ht="13.5">
      <c r="C931" s="503"/>
      <c r="D931" s="503"/>
      <c r="E931" s="503"/>
    </row>
    <row r="932" spans="3:5" s="500" customFormat="1" ht="13.5">
      <c r="C932" s="503"/>
      <c r="D932" s="503"/>
      <c r="E932" s="503"/>
    </row>
    <row r="933" spans="3:5" s="500" customFormat="1" ht="13.5">
      <c r="C933" s="503"/>
      <c r="D933" s="503"/>
      <c r="E933" s="503"/>
    </row>
    <row r="934" spans="3:5" s="500" customFormat="1" ht="13.5">
      <c r="C934" s="503"/>
      <c r="D934" s="503"/>
      <c r="E934" s="503"/>
    </row>
    <row r="935" spans="3:5" s="500" customFormat="1" ht="13.5">
      <c r="C935" s="503"/>
      <c r="D935" s="503"/>
      <c r="E935" s="503"/>
    </row>
    <row r="936" spans="3:5" s="500" customFormat="1" ht="13.5">
      <c r="C936" s="503"/>
      <c r="D936" s="503"/>
      <c r="E936" s="503"/>
    </row>
    <row r="937" spans="3:5" s="500" customFormat="1" ht="13.5">
      <c r="C937" s="503"/>
      <c r="D937" s="503"/>
      <c r="E937" s="503"/>
    </row>
    <row r="938" spans="3:5" s="500" customFormat="1" ht="13.5">
      <c r="C938" s="503"/>
      <c r="D938" s="503"/>
      <c r="E938" s="503"/>
    </row>
    <row r="939" spans="3:5" s="500" customFormat="1" ht="13.5">
      <c r="C939" s="503"/>
      <c r="D939" s="503"/>
      <c r="E939" s="503"/>
    </row>
    <row r="940" spans="3:5" s="500" customFormat="1" ht="13.5">
      <c r="C940" s="503"/>
      <c r="D940" s="503"/>
      <c r="E940" s="503"/>
    </row>
    <row r="941" spans="3:5" s="500" customFormat="1" ht="13.5">
      <c r="C941" s="503"/>
      <c r="D941" s="503"/>
      <c r="E941" s="503"/>
    </row>
    <row r="942" spans="3:5" s="500" customFormat="1" ht="13.5">
      <c r="C942" s="503"/>
      <c r="D942" s="503"/>
      <c r="E942" s="503"/>
    </row>
    <row r="943" spans="3:5" s="500" customFormat="1" ht="13.5">
      <c r="C943" s="503"/>
      <c r="D943" s="503"/>
      <c r="E943" s="503"/>
    </row>
    <row r="944" spans="3:5" s="500" customFormat="1" ht="13.5">
      <c r="C944" s="503"/>
      <c r="D944" s="503"/>
      <c r="E944" s="503"/>
    </row>
    <row r="945" spans="3:5" s="500" customFormat="1" ht="13.5">
      <c r="C945" s="503"/>
      <c r="D945" s="503"/>
      <c r="E945" s="503"/>
    </row>
    <row r="946" spans="3:5" s="500" customFormat="1" ht="13.5">
      <c r="C946" s="503"/>
      <c r="D946" s="503"/>
      <c r="E946" s="503"/>
    </row>
    <row r="947" spans="3:5" s="500" customFormat="1" ht="13.5">
      <c r="C947" s="503"/>
      <c r="D947" s="503"/>
      <c r="E947" s="503"/>
    </row>
    <row r="948" spans="3:5" s="500" customFormat="1" ht="13.5">
      <c r="C948" s="503"/>
      <c r="D948" s="503"/>
      <c r="E948" s="503"/>
    </row>
    <row r="949" spans="3:5" s="500" customFormat="1" ht="13.5">
      <c r="C949" s="503"/>
      <c r="D949" s="503"/>
      <c r="E949" s="503"/>
    </row>
    <row r="950" spans="3:5" s="500" customFormat="1" ht="13.5">
      <c r="C950" s="503"/>
      <c r="D950" s="503"/>
      <c r="E950" s="503"/>
    </row>
    <row r="951" spans="3:5" s="500" customFormat="1" ht="13.5">
      <c r="C951" s="503"/>
      <c r="D951" s="503"/>
      <c r="E951" s="503"/>
    </row>
    <row r="952" spans="3:5" s="500" customFormat="1" ht="13.5">
      <c r="C952" s="503"/>
      <c r="D952" s="503"/>
      <c r="E952" s="503"/>
    </row>
    <row r="953" spans="3:5" s="500" customFormat="1" ht="13.5">
      <c r="C953" s="503"/>
      <c r="D953" s="503"/>
      <c r="E953" s="503"/>
    </row>
    <row r="954" spans="3:5" s="500" customFormat="1" ht="13.5">
      <c r="C954" s="503"/>
      <c r="D954" s="503"/>
      <c r="E954" s="503"/>
    </row>
    <row r="955" spans="3:5" s="500" customFormat="1" ht="13.5">
      <c r="C955" s="503"/>
      <c r="D955" s="503"/>
      <c r="E955" s="503"/>
    </row>
    <row r="956" spans="3:5" s="500" customFormat="1" ht="13.5">
      <c r="C956" s="503"/>
      <c r="D956" s="503"/>
      <c r="E956" s="503"/>
    </row>
    <row r="957" spans="3:5" s="500" customFormat="1" ht="13.5">
      <c r="C957" s="503"/>
      <c r="D957" s="503"/>
      <c r="E957" s="503"/>
    </row>
    <row r="958" spans="3:5" s="500" customFormat="1" ht="13.5">
      <c r="C958" s="503"/>
      <c r="D958" s="503"/>
      <c r="E958" s="503"/>
    </row>
    <row r="959" spans="3:5" s="500" customFormat="1" ht="13.5">
      <c r="C959" s="503"/>
      <c r="D959" s="503"/>
      <c r="E959" s="503"/>
    </row>
    <row r="960" spans="3:5" s="500" customFormat="1" ht="13.5">
      <c r="C960" s="503"/>
      <c r="D960" s="503"/>
      <c r="E960" s="503"/>
    </row>
    <row r="961" spans="3:5" s="500" customFormat="1" ht="13.5">
      <c r="C961" s="503"/>
      <c r="D961" s="503"/>
      <c r="E961" s="503"/>
    </row>
    <row r="962" spans="3:5" s="500" customFormat="1" ht="13.5">
      <c r="C962" s="503"/>
      <c r="D962" s="503"/>
      <c r="E962" s="503"/>
    </row>
    <row r="963" spans="3:5" s="500" customFormat="1" ht="13.5">
      <c r="C963" s="503"/>
      <c r="D963" s="503"/>
      <c r="E963" s="503"/>
    </row>
    <row r="964" spans="3:5" s="500" customFormat="1" ht="13.5">
      <c r="C964" s="503"/>
      <c r="D964" s="503"/>
      <c r="E964" s="503"/>
    </row>
    <row r="965" spans="3:5" s="500" customFormat="1" ht="13.5">
      <c r="C965" s="503"/>
      <c r="D965" s="503"/>
      <c r="E965" s="503"/>
    </row>
    <row r="966" spans="3:5" s="500" customFormat="1" ht="13.5">
      <c r="C966" s="503"/>
      <c r="D966" s="503"/>
      <c r="E966" s="503"/>
    </row>
    <row r="967" spans="3:5" s="500" customFormat="1" ht="13.5">
      <c r="C967" s="503"/>
      <c r="D967" s="503"/>
      <c r="E967" s="503"/>
    </row>
    <row r="968" spans="3:5" s="500" customFormat="1" ht="13.5">
      <c r="C968" s="503"/>
      <c r="D968" s="503"/>
      <c r="E968" s="503"/>
    </row>
    <row r="969" spans="3:5" s="500" customFormat="1" ht="13.5">
      <c r="C969" s="503"/>
      <c r="D969" s="503"/>
      <c r="E969" s="503"/>
    </row>
    <row r="970" spans="3:5" s="500" customFormat="1" ht="13.5">
      <c r="C970" s="503"/>
      <c r="D970" s="503"/>
      <c r="E970" s="503"/>
    </row>
    <row r="971" spans="3:5" s="500" customFormat="1" ht="13.5">
      <c r="C971" s="503"/>
      <c r="D971" s="503"/>
      <c r="E971" s="503"/>
    </row>
    <row r="972" spans="3:5" s="500" customFormat="1" ht="13.5">
      <c r="C972" s="503"/>
      <c r="D972" s="503"/>
      <c r="E972" s="503"/>
    </row>
    <row r="973" spans="3:5" s="500" customFormat="1" ht="13.5">
      <c r="C973" s="503"/>
      <c r="D973" s="503"/>
      <c r="E973" s="503"/>
    </row>
    <row r="974" spans="3:5" s="500" customFormat="1" ht="13.5">
      <c r="C974" s="503"/>
      <c r="D974" s="503"/>
      <c r="E974" s="503"/>
    </row>
    <row r="975" spans="3:5" s="500" customFormat="1" ht="13.5">
      <c r="C975" s="503"/>
      <c r="D975" s="503"/>
      <c r="E975" s="503"/>
    </row>
    <row r="976" spans="3:5" s="500" customFormat="1" ht="13.5">
      <c r="C976" s="503"/>
      <c r="D976" s="503"/>
      <c r="E976" s="503"/>
    </row>
    <row r="977" spans="3:5" s="500" customFormat="1" ht="13.5">
      <c r="C977" s="503"/>
      <c r="D977" s="503"/>
      <c r="E977" s="503"/>
    </row>
    <row r="978" spans="3:5" s="500" customFormat="1" ht="13.5">
      <c r="C978" s="503"/>
      <c r="D978" s="503"/>
      <c r="E978" s="503"/>
    </row>
    <row r="979" spans="3:5" s="500" customFormat="1" ht="13.5">
      <c r="C979" s="503"/>
      <c r="D979" s="503"/>
      <c r="E979" s="503"/>
    </row>
    <row r="980" spans="3:5" s="500" customFormat="1" ht="13.5">
      <c r="C980" s="503"/>
      <c r="D980" s="503"/>
      <c r="E980" s="503"/>
    </row>
    <row r="981" spans="3:5" s="500" customFormat="1" ht="13.5">
      <c r="C981" s="503"/>
      <c r="D981" s="503"/>
      <c r="E981" s="503"/>
    </row>
    <row r="982" spans="3:5" s="500" customFormat="1" ht="13.5">
      <c r="C982" s="503"/>
      <c r="D982" s="503"/>
      <c r="E982" s="503"/>
    </row>
    <row r="983" spans="3:5" s="500" customFormat="1" ht="13.5">
      <c r="C983" s="503"/>
      <c r="D983" s="503"/>
      <c r="E983" s="503"/>
    </row>
    <row r="984" spans="3:5" s="500" customFormat="1" ht="13.5">
      <c r="C984" s="503"/>
      <c r="D984" s="503"/>
      <c r="E984" s="503"/>
    </row>
    <row r="985" spans="3:5" s="500" customFormat="1" ht="13.5">
      <c r="C985" s="503"/>
      <c r="D985" s="503"/>
      <c r="E985" s="503"/>
    </row>
    <row r="986" spans="3:5" s="500" customFormat="1" ht="13.5">
      <c r="C986" s="503"/>
      <c r="D986" s="503"/>
      <c r="E986" s="503"/>
    </row>
    <row r="987" spans="3:5" s="500" customFormat="1" ht="13.5">
      <c r="C987" s="503"/>
      <c r="D987" s="503"/>
      <c r="E987" s="503"/>
    </row>
    <row r="988" spans="3:5" s="500" customFormat="1" ht="13.5">
      <c r="C988" s="503"/>
      <c r="D988" s="503"/>
      <c r="E988" s="503"/>
    </row>
    <row r="989" spans="3:5" s="500" customFormat="1" ht="13.5">
      <c r="C989" s="503"/>
      <c r="D989" s="503"/>
      <c r="E989" s="503"/>
    </row>
    <row r="990" spans="3:5" s="500" customFormat="1" ht="13.5">
      <c r="C990" s="503"/>
      <c r="D990" s="503"/>
      <c r="E990" s="503"/>
    </row>
    <row r="991" spans="3:5" s="500" customFormat="1" ht="13.5">
      <c r="C991" s="503"/>
      <c r="D991" s="503"/>
      <c r="E991" s="503"/>
    </row>
    <row r="992" spans="3:5" s="500" customFormat="1" ht="13.5">
      <c r="C992" s="503"/>
      <c r="D992" s="503"/>
      <c r="E992" s="503"/>
    </row>
    <row r="993" spans="3:5" s="500" customFormat="1" ht="13.5">
      <c r="C993" s="503"/>
      <c r="D993" s="503"/>
      <c r="E993" s="503"/>
    </row>
    <row r="994" spans="3:5" s="500" customFormat="1" ht="13.5">
      <c r="C994" s="503"/>
      <c r="D994" s="503"/>
      <c r="E994" s="503"/>
    </row>
    <row r="995" spans="3:5" s="500" customFormat="1" ht="13.5">
      <c r="C995" s="503"/>
      <c r="D995" s="503"/>
      <c r="E995" s="503"/>
    </row>
    <row r="996" spans="3:5" s="500" customFormat="1" ht="13.5">
      <c r="C996" s="503"/>
      <c r="D996" s="503"/>
      <c r="E996" s="503"/>
    </row>
    <row r="997" spans="3:5" s="500" customFormat="1" ht="13.5">
      <c r="C997" s="503"/>
      <c r="D997" s="503"/>
      <c r="E997" s="503"/>
    </row>
    <row r="998" spans="3:5" s="500" customFormat="1" ht="13.5">
      <c r="C998" s="503"/>
      <c r="D998" s="503"/>
      <c r="E998" s="503"/>
    </row>
    <row r="999" spans="3:5" s="500" customFormat="1" ht="13.5">
      <c r="C999" s="503"/>
      <c r="D999" s="503"/>
      <c r="E999" s="503"/>
    </row>
    <row r="1000" spans="3:5" s="500" customFormat="1" ht="13.5">
      <c r="C1000" s="503"/>
      <c r="D1000" s="503"/>
      <c r="E1000" s="503"/>
    </row>
    <row r="1001" spans="3:5" s="500" customFormat="1" ht="13.5">
      <c r="C1001" s="503"/>
      <c r="D1001" s="503"/>
      <c r="E1001" s="503"/>
    </row>
    <row r="1002" spans="3:5" s="500" customFormat="1" ht="13.5">
      <c r="C1002" s="503"/>
      <c r="D1002" s="503"/>
      <c r="E1002" s="503"/>
    </row>
    <row r="1003" spans="3:5" s="500" customFormat="1" ht="13.5">
      <c r="C1003" s="503"/>
      <c r="D1003" s="503"/>
      <c r="E1003" s="503"/>
    </row>
    <row r="1004" spans="3:5" s="500" customFormat="1" ht="13.5">
      <c r="C1004" s="503"/>
      <c r="D1004" s="503"/>
      <c r="E1004" s="503"/>
    </row>
    <row r="1005" spans="3:5" s="500" customFormat="1" ht="13.5">
      <c r="C1005" s="503"/>
      <c r="D1005" s="503"/>
      <c r="E1005" s="503"/>
    </row>
    <row r="1006" spans="3:5" s="500" customFormat="1" ht="13.5">
      <c r="C1006" s="503"/>
      <c r="D1006" s="503"/>
      <c r="E1006" s="503"/>
    </row>
    <row r="1007" spans="3:5" s="500" customFormat="1" ht="13.5">
      <c r="C1007" s="503"/>
      <c r="D1007" s="503"/>
      <c r="E1007" s="503"/>
    </row>
    <row r="1008" spans="3:5" s="500" customFormat="1" ht="13.5">
      <c r="C1008" s="503"/>
      <c r="D1008" s="503"/>
      <c r="E1008" s="503"/>
    </row>
    <row r="1009" spans="3:5" s="500" customFormat="1" ht="13.5">
      <c r="C1009" s="503"/>
      <c r="D1009" s="503"/>
      <c r="E1009" s="503"/>
    </row>
    <row r="1010" spans="3:5" s="500" customFormat="1" ht="13.5">
      <c r="C1010" s="503"/>
      <c r="D1010" s="503"/>
      <c r="E1010" s="503"/>
    </row>
    <row r="1011" spans="3:5" s="500" customFormat="1" ht="13.5">
      <c r="C1011" s="503"/>
      <c r="D1011" s="503"/>
      <c r="E1011" s="503"/>
    </row>
    <row r="1012" spans="3:5" s="500" customFormat="1" ht="13.5">
      <c r="C1012" s="503"/>
      <c r="D1012" s="503"/>
      <c r="E1012" s="503"/>
    </row>
    <row r="1013" spans="3:5" s="500" customFormat="1" ht="13.5">
      <c r="C1013" s="503"/>
      <c r="D1013" s="503"/>
      <c r="E1013" s="503"/>
    </row>
    <row r="1014" spans="3:5" s="500" customFormat="1" ht="13.5">
      <c r="C1014" s="503"/>
      <c r="D1014" s="503"/>
      <c r="E1014" s="503"/>
    </row>
    <row r="1015" spans="3:5" s="500" customFormat="1" ht="13.5">
      <c r="C1015" s="503"/>
      <c r="D1015" s="503"/>
      <c r="E1015" s="503"/>
    </row>
    <row r="1016" spans="3:5" s="500" customFormat="1" ht="13.5">
      <c r="C1016" s="503"/>
      <c r="D1016" s="503"/>
      <c r="E1016" s="503"/>
    </row>
    <row r="1017" spans="3:5" s="500" customFormat="1" ht="13.5">
      <c r="C1017" s="503"/>
      <c r="D1017" s="503"/>
      <c r="E1017" s="503"/>
    </row>
    <row r="1018" spans="3:5" s="500" customFormat="1" ht="13.5">
      <c r="C1018" s="503"/>
      <c r="D1018" s="503"/>
      <c r="E1018" s="503"/>
    </row>
    <row r="1019" spans="3:5" s="500" customFormat="1" ht="13.5">
      <c r="C1019" s="503"/>
      <c r="D1019" s="503"/>
      <c r="E1019" s="503"/>
    </row>
    <row r="1020" spans="3:5" s="500" customFormat="1" ht="13.5">
      <c r="C1020" s="503"/>
      <c r="D1020" s="503"/>
      <c r="E1020" s="503"/>
    </row>
    <row r="1021" spans="3:5" s="500" customFormat="1" ht="13.5">
      <c r="C1021" s="503"/>
      <c r="D1021" s="503"/>
      <c r="E1021" s="503"/>
    </row>
    <row r="1022" spans="3:5" s="500" customFormat="1" ht="13.5">
      <c r="C1022" s="503"/>
      <c r="D1022" s="503"/>
      <c r="E1022" s="503"/>
    </row>
    <row r="1023" spans="3:5" s="500" customFormat="1" ht="13.5">
      <c r="C1023" s="503"/>
      <c r="D1023" s="503"/>
      <c r="E1023" s="503"/>
    </row>
    <row r="1024" spans="3:5" s="500" customFormat="1" ht="13.5">
      <c r="C1024" s="503"/>
      <c r="D1024" s="503"/>
      <c r="E1024" s="503"/>
    </row>
    <row r="1025" spans="3:5" s="500" customFormat="1" ht="13.5">
      <c r="C1025" s="503"/>
      <c r="D1025" s="503"/>
      <c r="E1025" s="503"/>
    </row>
    <row r="1026" spans="3:5" s="500" customFormat="1" ht="13.5">
      <c r="C1026" s="503"/>
      <c r="D1026" s="503"/>
      <c r="E1026" s="503"/>
    </row>
    <row r="1027" spans="3:5" s="500" customFormat="1" ht="13.5">
      <c r="C1027" s="503"/>
      <c r="D1027" s="503"/>
      <c r="E1027" s="503"/>
    </row>
    <row r="1028" spans="3:5" s="500" customFormat="1" ht="13.5">
      <c r="C1028" s="503"/>
      <c r="D1028" s="503"/>
      <c r="E1028" s="503"/>
    </row>
    <row r="1029" spans="3:5" s="500" customFormat="1" ht="13.5">
      <c r="C1029" s="503"/>
      <c r="D1029" s="503"/>
      <c r="E1029" s="503"/>
    </row>
    <row r="1030" spans="3:5" s="500" customFormat="1" ht="13.5">
      <c r="C1030" s="503"/>
      <c r="D1030" s="503"/>
      <c r="E1030" s="503"/>
    </row>
    <row r="1031" spans="3:5" s="500" customFormat="1" ht="13.5">
      <c r="C1031" s="503"/>
      <c r="D1031" s="503"/>
      <c r="E1031" s="503"/>
    </row>
    <row r="1032" spans="3:5" s="500" customFormat="1" ht="13.5">
      <c r="C1032" s="503"/>
      <c r="D1032" s="503"/>
      <c r="E1032" s="503"/>
    </row>
    <row r="1033" spans="3:5" s="500" customFormat="1" ht="13.5">
      <c r="C1033" s="503"/>
      <c r="D1033" s="503"/>
      <c r="E1033" s="503"/>
    </row>
    <row r="1034" spans="3:5" s="500" customFormat="1" ht="13.5">
      <c r="C1034" s="503"/>
      <c r="D1034" s="503"/>
      <c r="E1034" s="503"/>
    </row>
    <row r="1035" spans="3:5" s="500" customFormat="1" ht="13.5">
      <c r="C1035" s="503"/>
      <c r="D1035" s="503"/>
      <c r="E1035" s="503"/>
    </row>
    <row r="1036" spans="3:5" s="500" customFormat="1" ht="13.5">
      <c r="C1036" s="503"/>
      <c r="D1036" s="503"/>
      <c r="E1036" s="503"/>
    </row>
    <row r="1037" spans="3:5" s="500" customFormat="1" ht="13.5">
      <c r="C1037" s="503"/>
      <c r="D1037" s="503"/>
      <c r="E1037" s="503"/>
    </row>
    <row r="1038" spans="3:5" s="500" customFormat="1" ht="13.5">
      <c r="C1038" s="503"/>
      <c r="D1038" s="503"/>
      <c r="E1038" s="503"/>
    </row>
    <row r="1039" spans="3:5" s="500" customFormat="1" ht="13.5">
      <c r="C1039" s="503"/>
      <c r="D1039" s="503"/>
      <c r="E1039" s="503"/>
    </row>
    <row r="1040" spans="3:5" s="500" customFormat="1" ht="13.5">
      <c r="C1040" s="503"/>
      <c r="D1040" s="503"/>
      <c r="E1040" s="503"/>
    </row>
    <row r="1041" spans="3:5" s="500" customFormat="1" ht="13.5">
      <c r="C1041" s="503"/>
      <c r="D1041" s="503"/>
      <c r="E1041" s="503"/>
    </row>
    <row r="1042" spans="3:5" s="500" customFormat="1" ht="13.5">
      <c r="C1042" s="503"/>
      <c r="D1042" s="503"/>
      <c r="E1042" s="503"/>
    </row>
    <row r="1043" spans="3:5" s="500" customFormat="1" ht="13.5">
      <c r="C1043" s="503"/>
      <c r="D1043" s="503"/>
      <c r="E1043" s="503"/>
    </row>
    <row r="1044" spans="3:5" s="500" customFormat="1" ht="13.5">
      <c r="C1044" s="503"/>
      <c r="D1044" s="503"/>
      <c r="E1044" s="503"/>
    </row>
    <row r="1045" spans="3:5" s="500" customFormat="1" ht="13.5">
      <c r="C1045" s="503"/>
      <c r="D1045" s="503"/>
      <c r="E1045" s="503"/>
    </row>
    <row r="1046" spans="3:5" s="500" customFormat="1" ht="13.5">
      <c r="C1046" s="503"/>
      <c r="D1046" s="503"/>
      <c r="E1046" s="503"/>
    </row>
    <row r="1047" spans="3:5" s="500" customFormat="1" ht="13.5">
      <c r="C1047" s="503"/>
      <c r="D1047" s="503"/>
      <c r="E1047" s="503"/>
    </row>
    <row r="1048" spans="3:5" s="500" customFormat="1" ht="13.5">
      <c r="C1048" s="503"/>
      <c r="D1048" s="503"/>
      <c r="E1048" s="503"/>
    </row>
    <row r="1049" spans="3:5" s="500" customFormat="1" ht="13.5">
      <c r="C1049" s="503"/>
      <c r="D1049" s="503"/>
      <c r="E1049" s="503"/>
    </row>
    <row r="1050" spans="3:5" s="500" customFormat="1" ht="13.5">
      <c r="C1050" s="503"/>
      <c r="D1050" s="503"/>
      <c r="E1050" s="503"/>
    </row>
    <row r="1051" spans="3:5" s="500" customFormat="1" ht="13.5">
      <c r="C1051" s="503"/>
      <c r="D1051" s="503"/>
      <c r="E1051" s="503"/>
    </row>
    <row r="1052" spans="3:5" s="500" customFormat="1" ht="13.5">
      <c r="C1052" s="503"/>
      <c r="D1052" s="503"/>
      <c r="E1052" s="503"/>
    </row>
    <row r="1053" spans="3:5" s="500" customFormat="1" ht="13.5">
      <c r="C1053" s="503"/>
      <c r="D1053" s="503"/>
      <c r="E1053" s="503"/>
    </row>
    <row r="1054" spans="3:5" s="500" customFormat="1" ht="13.5">
      <c r="C1054" s="503"/>
      <c r="D1054" s="503"/>
      <c r="E1054" s="503"/>
    </row>
    <row r="1055" spans="3:5" s="500" customFormat="1" ht="13.5">
      <c r="C1055" s="503"/>
      <c r="D1055" s="503"/>
      <c r="E1055" s="503"/>
    </row>
    <row r="1056" spans="3:5" s="500" customFormat="1" ht="13.5">
      <c r="C1056" s="503"/>
      <c r="D1056" s="503"/>
      <c r="E1056" s="503"/>
    </row>
    <row r="1057" spans="3:5" s="500" customFormat="1" ht="13.5">
      <c r="C1057" s="503"/>
      <c r="D1057" s="503"/>
      <c r="E1057" s="503"/>
    </row>
    <row r="1058" spans="3:5" s="500" customFormat="1" ht="13.5">
      <c r="C1058" s="503"/>
      <c r="D1058" s="503"/>
      <c r="E1058" s="503"/>
    </row>
    <row r="1059" spans="3:5" s="500" customFormat="1" ht="13.5">
      <c r="C1059" s="503"/>
      <c r="D1059" s="503"/>
      <c r="E1059" s="503"/>
    </row>
    <row r="1060" spans="3:5" s="500" customFormat="1" ht="13.5">
      <c r="C1060" s="503"/>
      <c r="D1060" s="503"/>
      <c r="E1060" s="503"/>
    </row>
    <row r="1061" spans="3:5" s="500" customFormat="1" ht="13.5">
      <c r="C1061" s="503"/>
      <c r="D1061" s="503"/>
      <c r="E1061" s="503"/>
    </row>
    <row r="1062" spans="3:5" s="500" customFormat="1" ht="13.5">
      <c r="C1062" s="503"/>
      <c r="D1062" s="503"/>
      <c r="E1062" s="503"/>
    </row>
    <row r="1063" spans="3:5" s="500" customFormat="1" ht="13.5">
      <c r="C1063" s="503"/>
      <c r="D1063" s="503"/>
      <c r="E1063" s="503"/>
    </row>
    <row r="1064" spans="3:5" s="500" customFormat="1" ht="13.5">
      <c r="C1064" s="503"/>
      <c r="D1064" s="503"/>
      <c r="E1064" s="503"/>
    </row>
    <row r="1065" spans="3:5" s="500" customFormat="1" ht="13.5">
      <c r="C1065" s="503"/>
      <c r="D1065" s="503"/>
      <c r="E1065" s="503"/>
    </row>
    <row r="1066" spans="3:5" s="500" customFormat="1" ht="13.5">
      <c r="C1066" s="503"/>
      <c r="D1066" s="503"/>
      <c r="E1066" s="503"/>
    </row>
    <row r="1067" spans="3:5" s="500" customFormat="1" ht="13.5">
      <c r="C1067" s="503"/>
      <c r="D1067" s="503"/>
      <c r="E1067" s="503"/>
    </row>
    <row r="1068" spans="3:5" s="500" customFormat="1" ht="13.5">
      <c r="C1068" s="503"/>
      <c r="D1068" s="503"/>
      <c r="E1068" s="503"/>
    </row>
    <row r="1069" spans="3:5" s="500" customFormat="1" ht="13.5">
      <c r="C1069" s="503"/>
      <c r="D1069" s="503"/>
      <c r="E1069" s="503"/>
    </row>
    <row r="1070" spans="3:5" s="500" customFormat="1" ht="13.5">
      <c r="C1070" s="503"/>
      <c r="D1070" s="503"/>
      <c r="E1070" s="503"/>
    </row>
    <row r="1071" spans="3:5" s="500" customFormat="1" ht="13.5">
      <c r="C1071" s="503"/>
      <c r="D1071" s="503"/>
      <c r="E1071" s="503"/>
    </row>
    <row r="1072" spans="3:5" s="500" customFormat="1" ht="13.5">
      <c r="C1072" s="503"/>
      <c r="D1072" s="503"/>
      <c r="E1072" s="503"/>
    </row>
    <row r="1073" spans="3:5" s="500" customFormat="1" ht="13.5">
      <c r="C1073" s="503"/>
      <c r="D1073" s="503"/>
      <c r="E1073" s="503"/>
    </row>
    <row r="1074" spans="3:5" s="500" customFormat="1" ht="13.5">
      <c r="C1074" s="503"/>
      <c r="D1074" s="503"/>
      <c r="E1074" s="503"/>
    </row>
    <row r="1075" spans="3:5" s="500" customFormat="1" ht="13.5">
      <c r="C1075" s="503"/>
      <c r="D1075" s="503"/>
      <c r="E1075" s="503"/>
    </row>
    <row r="1076" spans="3:5" s="500" customFormat="1" ht="13.5">
      <c r="C1076" s="503"/>
      <c r="D1076" s="503"/>
      <c r="E1076" s="503"/>
    </row>
    <row r="1077" spans="3:5" s="500" customFormat="1" ht="13.5">
      <c r="C1077" s="503"/>
      <c r="D1077" s="503"/>
      <c r="E1077" s="503"/>
    </row>
    <row r="1078" spans="3:5" s="500" customFormat="1" ht="13.5">
      <c r="C1078" s="503"/>
      <c r="D1078" s="503"/>
      <c r="E1078" s="503"/>
    </row>
    <row r="1079" spans="3:5" s="500" customFormat="1" ht="13.5">
      <c r="C1079" s="503"/>
      <c r="D1079" s="503"/>
      <c r="E1079" s="503"/>
    </row>
    <row r="1080" spans="3:5" s="500" customFormat="1" ht="13.5">
      <c r="C1080" s="503"/>
      <c r="D1080" s="503"/>
      <c r="E1080" s="503"/>
    </row>
    <row r="1081" spans="3:5" s="500" customFormat="1" ht="13.5">
      <c r="C1081" s="503"/>
      <c r="D1081" s="503"/>
      <c r="E1081" s="503"/>
    </row>
    <row r="1082" spans="3:5" s="500" customFormat="1" ht="13.5">
      <c r="C1082" s="503"/>
      <c r="D1082" s="503"/>
      <c r="E1082" s="503"/>
    </row>
    <row r="1083" spans="3:5" s="500" customFormat="1" ht="13.5">
      <c r="C1083" s="503"/>
      <c r="D1083" s="503"/>
      <c r="E1083" s="503"/>
    </row>
    <row r="1084" spans="3:5" s="500" customFormat="1" ht="13.5">
      <c r="C1084" s="503"/>
      <c r="D1084" s="503"/>
      <c r="E1084" s="503"/>
    </row>
    <row r="1085" spans="3:5" s="500" customFormat="1" ht="13.5">
      <c r="C1085" s="503"/>
      <c r="D1085" s="503"/>
      <c r="E1085" s="503"/>
    </row>
    <row r="1086" spans="3:5" s="500" customFormat="1" ht="13.5">
      <c r="C1086" s="503"/>
      <c r="D1086" s="503"/>
      <c r="E1086" s="503"/>
    </row>
    <row r="1087" spans="3:5" s="500" customFormat="1" ht="13.5">
      <c r="C1087" s="503"/>
      <c r="D1087" s="503"/>
      <c r="E1087" s="503"/>
    </row>
    <row r="1088" spans="3:5" s="500" customFormat="1" ht="13.5">
      <c r="C1088" s="503"/>
      <c r="D1088" s="503"/>
      <c r="E1088" s="503"/>
    </row>
    <row r="1089" spans="3:5" s="500" customFormat="1" ht="13.5">
      <c r="C1089" s="503"/>
      <c r="D1089" s="503"/>
      <c r="E1089" s="503"/>
    </row>
    <row r="1090" spans="3:5" s="500" customFormat="1" ht="13.5">
      <c r="C1090" s="503"/>
      <c r="D1090" s="503"/>
      <c r="E1090" s="503"/>
    </row>
    <row r="1091" spans="3:5" s="500" customFormat="1" ht="13.5">
      <c r="C1091" s="503"/>
      <c r="D1091" s="503"/>
      <c r="E1091" s="503"/>
    </row>
    <row r="1092" spans="3:5" s="500" customFormat="1" ht="13.5">
      <c r="C1092" s="503"/>
      <c r="D1092" s="503"/>
      <c r="E1092" s="503"/>
    </row>
    <row r="1093" spans="3:5" s="500" customFormat="1" ht="13.5">
      <c r="C1093" s="503"/>
      <c r="D1093" s="503"/>
      <c r="E1093" s="503"/>
    </row>
    <row r="1094" spans="3:5" s="500" customFormat="1" ht="13.5">
      <c r="C1094" s="503"/>
      <c r="D1094" s="503"/>
      <c r="E1094" s="503"/>
    </row>
    <row r="1095" spans="3:5" s="500" customFormat="1" ht="13.5">
      <c r="C1095" s="503"/>
      <c r="D1095" s="503"/>
      <c r="E1095" s="503"/>
    </row>
    <row r="1096" spans="3:5" s="500" customFormat="1" ht="13.5">
      <c r="C1096" s="503"/>
      <c r="D1096" s="503"/>
      <c r="E1096" s="503"/>
    </row>
    <row r="1097" spans="3:5" s="500" customFormat="1" ht="13.5">
      <c r="C1097" s="503"/>
      <c r="D1097" s="503"/>
      <c r="E1097" s="503"/>
    </row>
    <row r="1098" spans="3:5" s="500" customFormat="1" ht="13.5">
      <c r="C1098" s="503"/>
      <c r="D1098" s="503"/>
      <c r="E1098" s="503"/>
    </row>
    <row r="1099" spans="3:5" s="500" customFormat="1" ht="13.5">
      <c r="C1099" s="503"/>
      <c r="D1099" s="503"/>
      <c r="E1099" s="503"/>
    </row>
    <row r="1100" spans="3:5" s="500" customFormat="1" ht="13.5">
      <c r="C1100" s="503"/>
      <c r="D1100" s="503"/>
      <c r="E1100" s="503"/>
    </row>
    <row r="1101" spans="3:5" s="500" customFormat="1" ht="13.5">
      <c r="C1101" s="503"/>
      <c r="D1101" s="503"/>
      <c r="E1101" s="503"/>
    </row>
    <row r="1102" spans="3:5" s="500" customFormat="1" ht="13.5">
      <c r="C1102" s="503"/>
      <c r="D1102" s="503"/>
      <c r="E1102" s="503"/>
    </row>
    <row r="1103" spans="3:5" s="500" customFormat="1" ht="13.5">
      <c r="C1103" s="503"/>
      <c r="D1103" s="503"/>
      <c r="E1103" s="503"/>
    </row>
    <row r="1104" spans="3:5" s="500" customFormat="1" ht="13.5">
      <c r="C1104" s="503"/>
      <c r="D1104" s="503"/>
      <c r="E1104" s="503"/>
    </row>
    <row r="1105" spans="3:5" s="500" customFormat="1" ht="13.5">
      <c r="C1105" s="503"/>
      <c r="D1105" s="503"/>
      <c r="E1105" s="503"/>
    </row>
    <row r="1106" spans="3:5" s="500" customFormat="1" ht="13.5">
      <c r="C1106" s="503"/>
      <c r="D1106" s="503"/>
      <c r="E1106" s="503"/>
    </row>
    <row r="1107" spans="3:5" s="500" customFormat="1" ht="13.5">
      <c r="C1107" s="503"/>
      <c r="D1107" s="503"/>
      <c r="E1107" s="503"/>
    </row>
    <row r="1108" spans="3:5" s="500" customFormat="1" ht="13.5">
      <c r="C1108" s="503"/>
      <c r="D1108" s="503"/>
      <c r="E1108" s="503"/>
    </row>
    <row r="1109" spans="3:5" s="500" customFormat="1" ht="13.5">
      <c r="C1109" s="503"/>
      <c r="D1109" s="503"/>
      <c r="E1109" s="503"/>
    </row>
    <row r="1110" spans="3:5" s="500" customFormat="1" ht="13.5">
      <c r="C1110" s="503"/>
      <c r="D1110" s="503"/>
      <c r="E1110" s="503"/>
    </row>
    <row r="1111" spans="3:5" s="500" customFormat="1" ht="13.5">
      <c r="C1111" s="503"/>
      <c r="D1111" s="503"/>
      <c r="E1111" s="503"/>
    </row>
    <row r="1112" spans="3:5" s="500" customFormat="1" ht="13.5">
      <c r="C1112" s="503"/>
      <c r="D1112" s="503"/>
      <c r="E1112" s="503"/>
    </row>
    <row r="1113" spans="3:5" s="500" customFormat="1" ht="13.5">
      <c r="C1113" s="503"/>
      <c r="D1113" s="503"/>
      <c r="E1113" s="503"/>
    </row>
    <row r="1114" spans="3:5" s="500" customFormat="1" ht="13.5">
      <c r="C1114" s="503"/>
      <c r="D1114" s="503"/>
      <c r="E1114" s="503"/>
    </row>
    <row r="1115" spans="3:5" s="500" customFormat="1" ht="13.5">
      <c r="C1115" s="503"/>
      <c r="D1115" s="503"/>
      <c r="E1115" s="503"/>
    </row>
    <row r="1116" spans="3:5" s="500" customFormat="1" ht="13.5">
      <c r="C1116" s="503"/>
      <c r="D1116" s="503"/>
      <c r="E1116" s="503"/>
    </row>
    <row r="1117" spans="3:5" s="500" customFormat="1" ht="13.5">
      <c r="C1117" s="503"/>
      <c r="D1117" s="503"/>
      <c r="E1117" s="503"/>
    </row>
    <row r="1118" spans="3:5" s="500" customFormat="1" ht="13.5">
      <c r="C1118" s="503"/>
      <c r="D1118" s="503"/>
      <c r="E1118" s="503"/>
    </row>
    <row r="1119" spans="3:5" s="500" customFormat="1" ht="13.5">
      <c r="C1119" s="503"/>
      <c r="D1119" s="503"/>
      <c r="E1119" s="503"/>
    </row>
    <row r="1120" spans="3:5" s="500" customFormat="1" ht="13.5">
      <c r="C1120" s="503"/>
      <c r="D1120" s="503"/>
      <c r="E1120" s="503"/>
    </row>
    <row r="1121" spans="3:5" s="500" customFormat="1" ht="13.5">
      <c r="C1121" s="503"/>
      <c r="D1121" s="503"/>
      <c r="E1121" s="503"/>
    </row>
    <row r="1122" spans="3:5" s="500" customFormat="1" ht="13.5">
      <c r="C1122" s="503"/>
      <c r="D1122" s="503"/>
      <c r="E1122" s="503"/>
    </row>
    <row r="1123" spans="3:5" s="500" customFormat="1" ht="13.5">
      <c r="C1123" s="503"/>
      <c r="D1123" s="503"/>
      <c r="E1123" s="503"/>
    </row>
    <row r="1124" spans="3:5" s="500" customFormat="1" ht="13.5">
      <c r="C1124" s="503"/>
      <c r="D1124" s="503"/>
      <c r="E1124" s="503"/>
    </row>
    <row r="1125" spans="3:5" s="500" customFormat="1" ht="13.5">
      <c r="C1125" s="503"/>
      <c r="D1125" s="503"/>
      <c r="E1125" s="503"/>
    </row>
    <row r="1126" spans="3:5" s="500" customFormat="1" ht="13.5">
      <c r="C1126" s="503"/>
      <c r="D1126" s="503"/>
      <c r="E1126" s="503"/>
    </row>
    <row r="1127" spans="3:5" s="500" customFormat="1" ht="13.5">
      <c r="C1127" s="503"/>
      <c r="D1127" s="503"/>
      <c r="E1127" s="503"/>
    </row>
    <row r="1128" spans="3:5" s="500" customFormat="1" ht="13.5">
      <c r="C1128" s="503"/>
      <c r="D1128" s="503"/>
      <c r="E1128" s="503"/>
    </row>
    <row r="1129" spans="3:5" s="500" customFormat="1" ht="13.5">
      <c r="C1129" s="503"/>
      <c r="D1129" s="503"/>
      <c r="E1129" s="503"/>
    </row>
    <row r="1130" spans="3:5" s="500" customFormat="1" ht="13.5">
      <c r="C1130" s="503"/>
      <c r="D1130" s="503"/>
      <c r="E1130" s="503"/>
    </row>
    <row r="1131" spans="3:5" s="500" customFormat="1" ht="13.5">
      <c r="C1131" s="503"/>
      <c r="D1131" s="503"/>
      <c r="E1131" s="503"/>
    </row>
    <row r="1132" spans="3:5" s="500" customFormat="1" ht="13.5">
      <c r="C1132" s="503"/>
      <c r="D1132" s="503"/>
      <c r="E1132" s="503"/>
    </row>
    <row r="1133" spans="3:5" s="500" customFormat="1" ht="13.5">
      <c r="C1133" s="503"/>
      <c r="D1133" s="503"/>
      <c r="E1133" s="503"/>
    </row>
    <row r="1134" spans="3:5" s="500" customFormat="1" ht="13.5">
      <c r="C1134" s="503"/>
      <c r="D1134" s="503"/>
      <c r="E1134" s="503"/>
    </row>
    <row r="1135" spans="3:5" s="500" customFormat="1" ht="13.5">
      <c r="C1135" s="503"/>
      <c r="D1135" s="503"/>
      <c r="E1135" s="503"/>
    </row>
    <row r="1136" spans="3:5" s="500" customFormat="1" ht="13.5">
      <c r="C1136" s="503"/>
      <c r="D1136" s="503"/>
      <c r="E1136" s="503"/>
    </row>
    <row r="1137" spans="3:5" s="500" customFormat="1" ht="13.5">
      <c r="C1137" s="503"/>
      <c r="D1137" s="503"/>
      <c r="E1137" s="503"/>
    </row>
    <row r="1138" spans="3:5" s="500" customFormat="1" ht="13.5">
      <c r="C1138" s="503"/>
      <c r="D1138" s="503"/>
      <c r="E1138" s="503"/>
    </row>
    <row r="1139" spans="3:5" s="500" customFormat="1" ht="13.5">
      <c r="C1139" s="503"/>
      <c r="D1139" s="503"/>
      <c r="E1139" s="503"/>
    </row>
    <row r="1140" spans="3:5" s="500" customFormat="1" ht="13.5">
      <c r="C1140" s="503"/>
      <c r="D1140" s="503"/>
      <c r="E1140" s="503"/>
    </row>
    <row r="1141" spans="3:5" s="500" customFormat="1" ht="13.5">
      <c r="C1141" s="503"/>
      <c r="D1141" s="503"/>
      <c r="E1141" s="503"/>
    </row>
    <row r="1142" spans="3:5" s="500" customFormat="1" ht="13.5">
      <c r="C1142" s="503"/>
      <c r="D1142" s="503"/>
      <c r="E1142" s="503"/>
    </row>
    <row r="1143" spans="3:5" s="500" customFormat="1" ht="13.5">
      <c r="C1143" s="503"/>
      <c r="D1143" s="503"/>
      <c r="E1143" s="503"/>
    </row>
    <row r="1144" spans="3:5" s="500" customFormat="1" ht="13.5">
      <c r="C1144" s="503"/>
      <c r="D1144" s="503"/>
      <c r="E1144" s="503"/>
    </row>
    <row r="1145" spans="3:5" s="500" customFormat="1" ht="13.5">
      <c r="C1145" s="503"/>
      <c r="D1145" s="503"/>
      <c r="E1145" s="503"/>
    </row>
    <row r="1146" spans="3:5" ht="14.25">
      <c r="C1146" s="504"/>
      <c r="D1146" s="504"/>
      <c r="E1146" s="504"/>
    </row>
    <row r="1147" spans="3:5" ht="14.25">
      <c r="C1147" s="504"/>
      <c r="D1147" s="504"/>
      <c r="E1147" s="504"/>
    </row>
    <row r="1148" spans="3:5" ht="14.25">
      <c r="C1148" s="504"/>
      <c r="D1148" s="504"/>
      <c r="E1148" s="504"/>
    </row>
    <row r="1149" spans="3:5" ht="14.25">
      <c r="C1149" s="504"/>
      <c r="D1149" s="504"/>
      <c r="E1149" s="504"/>
    </row>
    <row r="1150" spans="3:5" ht="14.25">
      <c r="C1150" s="504"/>
      <c r="D1150" s="504"/>
      <c r="E1150" s="504"/>
    </row>
    <row r="1151" spans="3:5" ht="14.25">
      <c r="C1151" s="504"/>
      <c r="D1151" s="504"/>
      <c r="E1151" s="504"/>
    </row>
    <row r="1152" spans="3:5" ht="14.25">
      <c r="C1152" s="504"/>
      <c r="D1152" s="504"/>
      <c r="E1152" s="504"/>
    </row>
    <row r="1153" spans="3:5" ht="14.25">
      <c r="C1153" s="504"/>
      <c r="D1153" s="504"/>
      <c r="E1153" s="504"/>
    </row>
    <row r="1154" spans="3:5" ht="14.25">
      <c r="C1154" s="504"/>
      <c r="D1154" s="504"/>
      <c r="E1154" s="504"/>
    </row>
    <row r="1155" spans="3:5" ht="14.25">
      <c r="C1155" s="504"/>
      <c r="D1155" s="504"/>
      <c r="E1155" s="504"/>
    </row>
    <row r="1156" spans="3:5" ht="14.25">
      <c r="C1156" s="504"/>
      <c r="D1156" s="504"/>
      <c r="E1156" s="504"/>
    </row>
    <row r="1157" spans="3:5" ht="14.25">
      <c r="C1157" s="504"/>
      <c r="D1157" s="504"/>
      <c r="E1157" s="504"/>
    </row>
    <row r="1158" spans="3:5" ht="14.25">
      <c r="C1158" s="504"/>
      <c r="D1158" s="504"/>
      <c r="E1158" s="504"/>
    </row>
    <row r="1159" spans="3:5" ht="14.25">
      <c r="C1159" s="504"/>
      <c r="D1159" s="504"/>
      <c r="E1159" s="504"/>
    </row>
    <row r="1160" spans="3:5" ht="14.25">
      <c r="C1160" s="504"/>
      <c r="D1160" s="504"/>
      <c r="E1160" s="504"/>
    </row>
    <row r="1161" spans="3:5" ht="14.25">
      <c r="C1161" s="504"/>
      <c r="D1161" s="504"/>
      <c r="E1161" s="504"/>
    </row>
    <row r="1162" spans="3:5" ht="14.25">
      <c r="C1162" s="504"/>
      <c r="D1162" s="504"/>
      <c r="E1162" s="504"/>
    </row>
    <row r="1163" spans="3:5" ht="14.25">
      <c r="C1163" s="504"/>
      <c r="D1163" s="504"/>
      <c r="E1163" s="504"/>
    </row>
    <row r="1164" spans="3:5" ht="14.25">
      <c r="C1164" s="504"/>
      <c r="D1164" s="504"/>
      <c r="E1164" s="504"/>
    </row>
    <row r="1165" spans="3:5" ht="14.25">
      <c r="C1165" s="504"/>
      <c r="D1165" s="504"/>
      <c r="E1165" s="504"/>
    </row>
    <row r="1166" spans="3:5" ht="14.25">
      <c r="C1166" s="504"/>
      <c r="D1166" s="504"/>
      <c r="E1166" s="504"/>
    </row>
    <row r="1167" spans="3:5" ht="14.25">
      <c r="C1167" s="504"/>
      <c r="D1167" s="504"/>
      <c r="E1167" s="504"/>
    </row>
    <row r="1168" spans="3:5" ht="14.25">
      <c r="C1168" s="504"/>
      <c r="D1168" s="504"/>
      <c r="E1168" s="504"/>
    </row>
    <row r="1169" spans="3:5" ht="14.25">
      <c r="C1169" s="504"/>
      <c r="D1169" s="504"/>
      <c r="E1169" s="504"/>
    </row>
    <row r="1170" spans="3:5" ht="14.25">
      <c r="C1170" s="504"/>
      <c r="D1170" s="504"/>
      <c r="E1170" s="504"/>
    </row>
    <row r="1171" spans="3:5" ht="14.25">
      <c r="C1171" s="504"/>
      <c r="D1171" s="504"/>
      <c r="E1171" s="504"/>
    </row>
    <row r="1172" spans="3:5" ht="14.25">
      <c r="C1172" s="504"/>
      <c r="D1172" s="504"/>
      <c r="E1172" s="504"/>
    </row>
    <row r="1173" spans="3:5" ht="14.25">
      <c r="C1173" s="504"/>
      <c r="D1173" s="504"/>
      <c r="E1173" s="504"/>
    </row>
    <row r="1174" spans="3:5" ht="14.25">
      <c r="C1174" s="504"/>
      <c r="D1174" s="504"/>
      <c r="E1174" s="504"/>
    </row>
    <row r="1175" spans="3:5" ht="14.25">
      <c r="C1175" s="504"/>
      <c r="D1175" s="504"/>
      <c r="E1175" s="504"/>
    </row>
    <row r="1176" spans="3:5" ht="14.25">
      <c r="C1176" s="504"/>
      <c r="D1176" s="504"/>
      <c r="E1176" s="504"/>
    </row>
    <row r="1177" spans="3:5" ht="14.25">
      <c r="C1177" s="504"/>
      <c r="D1177" s="504"/>
      <c r="E1177" s="504"/>
    </row>
    <row r="1178" spans="3:5" ht="14.25">
      <c r="C1178" s="504"/>
      <c r="D1178" s="504"/>
      <c r="E1178" s="504"/>
    </row>
    <row r="1179" spans="3:5" ht="14.25">
      <c r="C1179" s="504"/>
      <c r="D1179" s="504"/>
      <c r="E1179" s="504"/>
    </row>
    <row r="1180" spans="3:5" ht="14.25">
      <c r="C1180" s="504"/>
      <c r="D1180" s="504"/>
      <c r="E1180" s="504"/>
    </row>
    <row r="1181" spans="3:5" ht="14.25">
      <c r="C1181" s="504"/>
      <c r="D1181" s="504"/>
      <c r="E1181" s="504"/>
    </row>
    <row r="1182" spans="3:5" ht="14.25">
      <c r="C1182" s="504"/>
      <c r="D1182" s="504"/>
      <c r="E1182" s="504"/>
    </row>
    <row r="1183" spans="3:5" ht="14.25">
      <c r="C1183" s="504"/>
      <c r="D1183" s="504"/>
      <c r="E1183" s="504"/>
    </row>
    <row r="1184" spans="3:5" ht="14.25">
      <c r="C1184" s="504"/>
      <c r="D1184" s="504"/>
      <c r="E1184" s="504"/>
    </row>
    <row r="1185" spans="3:5" ht="14.25">
      <c r="C1185" s="504"/>
      <c r="D1185" s="504"/>
      <c r="E1185" s="504"/>
    </row>
    <row r="1186" spans="3:5" ht="14.25">
      <c r="C1186" s="504"/>
      <c r="D1186" s="504"/>
      <c r="E1186" s="504"/>
    </row>
    <row r="1187" spans="3:5" ht="14.25">
      <c r="C1187" s="504"/>
      <c r="D1187" s="504"/>
      <c r="E1187" s="504"/>
    </row>
    <row r="1188" spans="3:5" ht="14.25">
      <c r="C1188" s="504"/>
      <c r="D1188" s="504"/>
      <c r="E1188" s="504"/>
    </row>
    <row r="1189" spans="3:5" ht="14.25">
      <c r="C1189" s="504"/>
      <c r="D1189" s="504"/>
      <c r="E1189" s="504"/>
    </row>
    <row r="1190" spans="3:5" ht="14.25">
      <c r="C1190" s="504"/>
      <c r="D1190" s="504"/>
      <c r="E1190" s="504"/>
    </row>
    <row r="1191" spans="3:5" ht="14.25">
      <c r="C1191" s="504"/>
      <c r="D1191" s="504"/>
      <c r="E1191" s="504"/>
    </row>
    <row r="1192" spans="3:5" ht="14.25">
      <c r="C1192" s="504"/>
      <c r="D1192" s="504"/>
      <c r="E1192" s="504"/>
    </row>
    <row r="1193" spans="3:5" ht="14.25">
      <c r="C1193" s="504"/>
      <c r="D1193" s="504"/>
      <c r="E1193" s="504"/>
    </row>
    <row r="1194" spans="3:5" ht="14.25">
      <c r="C1194" s="504"/>
      <c r="D1194" s="504"/>
      <c r="E1194" s="504"/>
    </row>
    <row r="1195" spans="3:5" ht="14.25">
      <c r="C1195" s="504"/>
      <c r="D1195" s="504"/>
      <c r="E1195" s="504"/>
    </row>
    <row r="1196" spans="3:5" ht="14.25">
      <c r="C1196" s="504"/>
      <c r="D1196" s="504"/>
      <c r="E1196" s="504"/>
    </row>
    <row r="1197" spans="3:5" ht="14.25">
      <c r="C1197" s="504"/>
      <c r="D1197" s="504"/>
      <c r="E1197" s="504"/>
    </row>
    <row r="1198" spans="3:5" ht="14.25">
      <c r="C1198" s="504"/>
      <c r="D1198" s="504"/>
      <c r="E1198" s="504"/>
    </row>
    <row r="1199" spans="3:5" ht="14.25">
      <c r="C1199" s="504"/>
      <c r="D1199" s="504"/>
      <c r="E1199" s="504"/>
    </row>
    <row r="1200" spans="3:5" ht="14.25">
      <c r="C1200" s="504"/>
      <c r="D1200" s="504"/>
      <c r="E1200" s="504"/>
    </row>
    <row r="1201" spans="3:5" ht="14.25">
      <c r="C1201" s="504"/>
      <c r="D1201" s="504"/>
      <c r="E1201" s="504"/>
    </row>
    <row r="1202" spans="3:5" ht="14.25">
      <c r="C1202" s="504"/>
      <c r="D1202" s="504"/>
      <c r="E1202" s="504"/>
    </row>
    <row r="1203" spans="3:5" ht="14.25">
      <c r="C1203" s="504"/>
      <c r="D1203" s="504"/>
      <c r="E1203" s="504"/>
    </row>
    <row r="1204" spans="3:5" ht="14.25">
      <c r="C1204" s="504"/>
      <c r="D1204" s="504"/>
      <c r="E1204" s="504"/>
    </row>
    <row r="1205" spans="3:5" ht="14.25">
      <c r="C1205" s="504"/>
      <c r="D1205" s="504"/>
      <c r="E1205" s="504"/>
    </row>
    <row r="1206" spans="3:5" ht="14.25">
      <c r="C1206" s="504"/>
      <c r="D1206" s="504"/>
      <c r="E1206" s="504"/>
    </row>
    <row r="1207" spans="3:5" ht="14.25">
      <c r="C1207" s="504"/>
      <c r="D1207" s="504"/>
      <c r="E1207" s="504"/>
    </row>
    <row r="1208" spans="3:5" ht="14.25">
      <c r="C1208" s="504"/>
      <c r="D1208" s="504"/>
      <c r="E1208" s="504"/>
    </row>
    <row r="1209" spans="3:5" ht="14.25">
      <c r="C1209" s="504"/>
      <c r="D1209" s="504"/>
      <c r="E1209" s="504"/>
    </row>
    <row r="1210" spans="3:5" ht="14.25">
      <c r="C1210" s="504"/>
      <c r="D1210" s="504"/>
      <c r="E1210" s="504"/>
    </row>
    <row r="1211" spans="3:5" ht="14.25">
      <c r="C1211" s="504"/>
      <c r="D1211" s="504"/>
      <c r="E1211" s="504"/>
    </row>
    <row r="1212" spans="3:5" ht="14.25">
      <c r="C1212" s="504"/>
      <c r="D1212" s="504"/>
      <c r="E1212" s="504"/>
    </row>
    <row r="1213" spans="3:5" ht="14.25">
      <c r="C1213" s="504"/>
      <c r="D1213" s="504"/>
      <c r="E1213" s="504"/>
    </row>
    <row r="1214" spans="3:5" ht="14.25">
      <c r="C1214" s="504"/>
      <c r="D1214" s="504"/>
      <c r="E1214" s="504"/>
    </row>
    <row r="1215" spans="3:5" ht="14.25">
      <c r="C1215" s="504"/>
      <c r="D1215" s="504"/>
      <c r="E1215" s="504"/>
    </row>
    <row r="1216" spans="3:5" ht="14.25">
      <c r="C1216" s="504"/>
      <c r="D1216" s="504"/>
      <c r="E1216" s="504"/>
    </row>
    <row r="1217" spans="3:5" ht="14.25">
      <c r="C1217" s="504"/>
      <c r="D1217" s="504"/>
      <c r="E1217" s="504"/>
    </row>
    <row r="1218" spans="3:5" ht="14.25">
      <c r="C1218" s="504"/>
      <c r="D1218" s="504"/>
      <c r="E1218" s="504"/>
    </row>
    <row r="1219" spans="3:5" ht="14.25">
      <c r="C1219" s="504"/>
      <c r="D1219" s="504"/>
      <c r="E1219" s="504"/>
    </row>
    <row r="1220" spans="3:5" ht="14.25">
      <c r="C1220" s="504"/>
      <c r="D1220" s="504"/>
      <c r="E1220" s="504"/>
    </row>
    <row r="1221" spans="3:5" ht="14.25">
      <c r="C1221" s="504"/>
      <c r="D1221" s="504"/>
      <c r="E1221" s="504"/>
    </row>
    <row r="1222" spans="3:5" ht="14.25">
      <c r="C1222" s="504"/>
      <c r="D1222" s="504"/>
      <c r="E1222" s="504"/>
    </row>
    <row r="1223" spans="3:5" ht="14.25">
      <c r="C1223" s="504"/>
      <c r="D1223" s="504"/>
      <c r="E1223" s="504"/>
    </row>
    <row r="1224" spans="3:5" ht="14.25">
      <c r="C1224" s="504"/>
      <c r="D1224" s="504"/>
      <c r="E1224" s="504"/>
    </row>
    <row r="1225" spans="3:5" ht="14.25">
      <c r="C1225" s="504"/>
      <c r="D1225" s="504"/>
      <c r="E1225" s="504"/>
    </row>
    <row r="1226" spans="3:5" ht="14.25">
      <c r="C1226" s="504"/>
      <c r="D1226" s="504"/>
      <c r="E1226" s="504"/>
    </row>
    <row r="1227" spans="3:5" ht="14.25">
      <c r="C1227" s="504"/>
      <c r="D1227" s="504"/>
      <c r="E1227" s="504"/>
    </row>
    <row r="1228" spans="3:5" ht="14.25">
      <c r="C1228" s="504"/>
      <c r="D1228" s="504"/>
      <c r="E1228" s="504"/>
    </row>
    <row r="1229" spans="3:5" ht="14.25">
      <c r="C1229" s="504"/>
      <c r="D1229" s="504"/>
      <c r="E1229" s="504"/>
    </row>
    <row r="1230" spans="3:5" ht="14.25">
      <c r="C1230" s="504"/>
      <c r="D1230" s="504"/>
      <c r="E1230" s="504"/>
    </row>
    <row r="1231" spans="3:5" ht="14.25">
      <c r="C1231" s="504"/>
      <c r="D1231" s="504"/>
      <c r="E1231" s="504"/>
    </row>
    <row r="1232" spans="3:5" ht="14.25">
      <c r="C1232" s="504"/>
      <c r="D1232" s="504"/>
      <c r="E1232" s="504"/>
    </row>
    <row r="1233" spans="3:5" ht="14.25">
      <c r="C1233" s="504"/>
      <c r="D1233" s="504"/>
      <c r="E1233" s="504"/>
    </row>
    <row r="1234" spans="3:5" ht="14.25">
      <c r="C1234" s="504"/>
      <c r="D1234" s="504"/>
      <c r="E1234" s="504"/>
    </row>
    <row r="1235" spans="3:5" ht="14.25">
      <c r="C1235" s="504"/>
      <c r="D1235" s="504"/>
      <c r="E1235" s="504"/>
    </row>
    <row r="1236" spans="3:5" ht="14.25">
      <c r="C1236" s="504"/>
      <c r="D1236" s="504"/>
      <c r="E1236" s="504"/>
    </row>
    <row r="1237" spans="3:5" ht="14.25">
      <c r="C1237" s="504"/>
      <c r="D1237" s="504"/>
      <c r="E1237" s="504"/>
    </row>
    <row r="1238" spans="3:5" ht="14.25">
      <c r="C1238" s="504"/>
      <c r="D1238" s="504"/>
      <c r="E1238" s="504"/>
    </row>
    <row r="1239" spans="3:5" ht="14.25">
      <c r="C1239" s="504"/>
      <c r="D1239" s="504"/>
      <c r="E1239" s="504"/>
    </row>
    <row r="1240" spans="3:5" ht="14.25">
      <c r="C1240" s="504"/>
      <c r="D1240" s="504"/>
      <c r="E1240" s="504"/>
    </row>
    <row r="1241" spans="3:5" ht="14.25">
      <c r="C1241" s="504"/>
      <c r="D1241" s="504"/>
      <c r="E1241" s="504"/>
    </row>
    <row r="1242" spans="3:5" ht="14.25">
      <c r="C1242" s="504"/>
      <c r="D1242" s="504"/>
      <c r="E1242" s="504"/>
    </row>
    <row r="1243" spans="3:5" ht="14.25">
      <c r="C1243" s="504"/>
      <c r="D1243" s="504"/>
      <c r="E1243" s="504"/>
    </row>
    <row r="1244" spans="3:5" ht="14.25">
      <c r="C1244" s="504"/>
      <c r="D1244" s="504"/>
      <c r="E1244" s="504"/>
    </row>
    <row r="1245" spans="3:5" ht="14.25">
      <c r="C1245" s="504"/>
      <c r="D1245" s="504"/>
      <c r="E1245" s="504"/>
    </row>
    <row r="1246" spans="3:5" ht="14.25">
      <c r="C1246" s="504"/>
      <c r="D1246" s="504"/>
      <c r="E1246" s="504"/>
    </row>
    <row r="1247" spans="3:5" ht="14.25">
      <c r="C1247" s="504"/>
      <c r="D1247" s="504"/>
      <c r="E1247" s="504"/>
    </row>
    <row r="1248" spans="3:5" ht="14.25">
      <c r="C1248" s="504"/>
      <c r="D1248" s="504"/>
      <c r="E1248" s="504"/>
    </row>
    <row r="1249" spans="3:5" ht="14.25">
      <c r="C1249" s="504"/>
      <c r="D1249" s="504"/>
      <c r="E1249" s="504"/>
    </row>
    <row r="1250" spans="3:5" ht="14.25">
      <c r="C1250" s="504"/>
      <c r="D1250" s="504"/>
      <c r="E1250" s="504"/>
    </row>
    <row r="1251" spans="3:5" ht="14.25">
      <c r="C1251" s="504"/>
      <c r="D1251" s="504"/>
      <c r="E1251" s="504"/>
    </row>
    <row r="1252" spans="3:5" ht="14.25">
      <c r="C1252" s="504"/>
      <c r="D1252" s="504"/>
      <c r="E1252" s="504"/>
    </row>
    <row r="1253" spans="3:5" ht="14.25">
      <c r="C1253" s="504"/>
      <c r="D1253" s="504"/>
      <c r="E1253" s="504"/>
    </row>
    <row r="1254" spans="3:5" ht="14.25">
      <c r="C1254" s="504"/>
      <c r="D1254" s="504"/>
      <c r="E1254" s="504"/>
    </row>
    <row r="1255" spans="3:5" ht="14.25">
      <c r="C1255" s="504"/>
      <c r="D1255" s="504"/>
      <c r="E1255" s="504"/>
    </row>
    <row r="1256" spans="3:5" ht="14.25">
      <c r="C1256" s="504"/>
      <c r="D1256" s="504"/>
      <c r="E1256" s="504"/>
    </row>
    <row r="1257" spans="3:5" ht="14.25">
      <c r="C1257" s="504"/>
      <c r="D1257" s="504"/>
      <c r="E1257" s="504"/>
    </row>
    <row r="1258" spans="3:5" ht="14.25">
      <c r="C1258" s="504"/>
      <c r="D1258" s="504"/>
      <c r="E1258" s="504"/>
    </row>
    <row r="1259" spans="3:5" ht="14.25">
      <c r="C1259" s="504"/>
      <c r="D1259" s="504"/>
      <c r="E1259" s="504"/>
    </row>
    <row r="1260" spans="3:5" ht="14.25">
      <c r="C1260" s="504"/>
      <c r="D1260" s="504"/>
      <c r="E1260" s="504"/>
    </row>
    <row r="1261" spans="3:5" ht="14.25">
      <c r="C1261" s="504"/>
      <c r="D1261" s="504"/>
      <c r="E1261" s="504"/>
    </row>
    <row r="1262" spans="3:5" ht="14.25">
      <c r="C1262" s="504"/>
      <c r="D1262" s="504"/>
      <c r="E1262" s="504"/>
    </row>
    <row r="1263" spans="3:5" ht="14.25">
      <c r="C1263" s="504"/>
      <c r="D1263" s="504"/>
      <c r="E1263" s="504"/>
    </row>
    <row r="1264" spans="3:5" ht="14.25">
      <c r="C1264" s="504"/>
      <c r="D1264" s="504"/>
      <c r="E1264" s="504"/>
    </row>
    <row r="1265" spans="3:5" ht="14.25">
      <c r="C1265" s="504"/>
      <c r="D1265" s="504"/>
      <c r="E1265" s="504"/>
    </row>
    <row r="1266" spans="3:5" ht="14.25">
      <c r="C1266" s="504"/>
      <c r="D1266" s="504"/>
      <c r="E1266" s="504"/>
    </row>
    <row r="1267" spans="3:5" ht="14.25">
      <c r="C1267" s="504"/>
      <c r="D1267" s="504"/>
      <c r="E1267" s="504"/>
    </row>
    <row r="1268" spans="3:5" ht="14.25">
      <c r="C1268" s="504"/>
      <c r="D1268" s="504"/>
      <c r="E1268" s="504"/>
    </row>
    <row r="1269" spans="3:5" ht="14.25">
      <c r="C1269" s="504"/>
      <c r="D1269" s="504"/>
      <c r="E1269" s="504"/>
    </row>
    <row r="1270" spans="3:5" ht="14.25">
      <c r="C1270" s="504"/>
      <c r="D1270" s="504"/>
      <c r="E1270" s="504"/>
    </row>
    <row r="1271" spans="3:5" ht="14.25">
      <c r="C1271" s="504"/>
      <c r="D1271" s="504"/>
      <c r="E1271" s="504"/>
    </row>
    <row r="1272" spans="3:5" ht="14.25">
      <c r="C1272" s="504"/>
      <c r="D1272" s="504"/>
      <c r="E1272" s="504"/>
    </row>
    <row r="1273" spans="3:5" ht="14.25">
      <c r="C1273" s="504"/>
      <c r="D1273" s="504"/>
      <c r="E1273" s="504"/>
    </row>
    <row r="1274" spans="3:5" ht="14.25">
      <c r="C1274" s="504"/>
      <c r="D1274" s="504"/>
      <c r="E1274" s="504"/>
    </row>
    <row r="1275" spans="3:5" ht="14.25">
      <c r="C1275" s="504"/>
      <c r="D1275" s="504"/>
      <c r="E1275" s="504"/>
    </row>
    <row r="1276" spans="3:5" ht="14.25">
      <c r="C1276" s="504"/>
      <c r="D1276" s="504"/>
      <c r="E1276" s="504"/>
    </row>
    <row r="1277" spans="3:5" ht="14.25">
      <c r="C1277" s="504"/>
      <c r="D1277" s="504"/>
      <c r="E1277" s="504"/>
    </row>
    <row r="1278" spans="3:5" ht="14.25">
      <c r="C1278" s="504"/>
      <c r="D1278" s="504"/>
      <c r="E1278" s="504"/>
    </row>
    <row r="1279" spans="3:5" ht="14.25">
      <c r="C1279" s="504"/>
      <c r="D1279" s="504"/>
      <c r="E1279" s="504"/>
    </row>
    <row r="1280" spans="3:5" ht="14.25">
      <c r="C1280" s="504"/>
      <c r="D1280" s="504"/>
      <c r="E1280" s="504"/>
    </row>
    <row r="1281" spans="3:5" ht="14.25">
      <c r="C1281" s="504"/>
      <c r="D1281" s="504"/>
      <c r="E1281" s="504"/>
    </row>
    <row r="1282" spans="3:5" ht="14.25">
      <c r="C1282" s="504"/>
      <c r="D1282" s="504"/>
      <c r="E1282" s="504"/>
    </row>
    <row r="1283" spans="3:5" ht="14.25">
      <c r="C1283" s="504"/>
      <c r="D1283" s="504"/>
      <c r="E1283" s="504"/>
    </row>
    <row r="1284" spans="3:5" ht="14.25">
      <c r="C1284" s="504"/>
      <c r="D1284" s="504"/>
      <c r="E1284" s="504"/>
    </row>
    <row r="1285" spans="3:5" ht="14.25">
      <c r="C1285" s="504"/>
      <c r="D1285" s="504"/>
      <c r="E1285" s="504"/>
    </row>
    <row r="1286" spans="3:5" ht="14.25">
      <c r="C1286" s="504"/>
      <c r="D1286" s="504"/>
      <c r="E1286" s="504"/>
    </row>
    <row r="1287" spans="3:5" ht="14.25">
      <c r="C1287" s="504"/>
      <c r="D1287" s="504"/>
      <c r="E1287" s="504"/>
    </row>
    <row r="1288" spans="3:5" ht="14.25">
      <c r="C1288" s="504"/>
      <c r="D1288" s="504"/>
      <c r="E1288" s="504"/>
    </row>
    <row r="1289" spans="3:5" ht="14.25">
      <c r="C1289" s="504"/>
      <c r="D1289" s="504"/>
      <c r="E1289" s="504"/>
    </row>
    <row r="1290" spans="3:5" ht="14.25">
      <c r="C1290" s="504"/>
      <c r="D1290" s="504"/>
      <c r="E1290" s="504"/>
    </row>
    <row r="1291" spans="3:5" ht="14.25">
      <c r="C1291" s="504"/>
      <c r="D1291" s="504"/>
      <c r="E1291" s="504"/>
    </row>
    <row r="1292" spans="3:5" ht="14.25">
      <c r="C1292" s="504"/>
      <c r="D1292" s="504"/>
      <c r="E1292" s="504"/>
    </row>
    <row r="1293" spans="3:5" ht="14.25">
      <c r="C1293" s="504"/>
      <c r="D1293" s="504"/>
      <c r="E1293" s="504"/>
    </row>
    <row r="1294" spans="3:5" ht="14.25">
      <c r="C1294" s="504"/>
      <c r="D1294" s="504"/>
      <c r="E1294" s="504"/>
    </row>
    <row r="1295" spans="3:5" ht="14.25">
      <c r="C1295" s="504"/>
      <c r="D1295" s="504"/>
      <c r="E1295" s="504"/>
    </row>
    <row r="1296" spans="3:5" ht="14.25">
      <c r="C1296" s="504"/>
      <c r="D1296" s="504"/>
      <c r="E1296" s="504"/>
    </row>
    <row r="1297" spans="3:5" ht="14.25">
      <c r="C1297" s="504"/>
      <c r="D1297" s="504"/>
      <c r="E1297" s="504"/>
    </row>
    <row r="1298" spans="3:5" ht="14.25">
      <c r="C1298" s="504"/>
      <c r="D1298" s="504"/>
      <c r="E1298" s="504"/>
    </row>
    <row r="1299" spans="3:5" ht="14.25">
      <c r="C1299" s="504"/>
      <c r="D1299" s="504"/>
      <c r="E1299" s="504"/>
    </row>
    <row r="1300" spans="3:5" ht="14.25">
      <c r="C1300" s="504"/>
      <c r="D1300" s="504"/>
      <c r="E1300" s="504"/>
    </row>
    <row r="1301" spans="3:5" ht="14.25">
      <c r="C1301" s="504"/>
      <c r="D1301" s="504"/>
      <c r="E1301" s="504"/>
    </row>
    <row r="1302" spans="3:5" ht="14.25">
      <c r="C1302" s="504"/>
      <c r="D1302" s="504"/>
      <c r="E1302" s="504"/>
    </row>
    <row r="1303" spans="3:5" ht="14.25">
      <c r="C1303" s="504"/>
      <c r="D1303" s="504"/>
      <c r="E1303" s="504"/>
    </row>
    <row r="1304" spans="3:5" ht="14.25">
      <c r="C1304" s="504"/>
      <c r="D1304" s="504"/>
      <c r="E1304" s="504"/>
    </row>
    <row r="1305" spans="3:5" ht="14.25">
      <c r="C1305" s="504"/>
      <c r="D1305" s="504"/>
      <c r="E1305" s="504"/>
    </row>
    <row r="1306" spans="3:5" ht="14.25">
      <c r="C1306" s="504"/>
      <c r="D1306" s="504"/>
      <c r="E1306" s="504"/>
    </row>
    <row r="1307" spans="3:5" ht="14.25">
      <c r="C1307" s="504"/>
      <c r="D1307" s="504"/>
      <c r="E1307" s="504"/>
    </row>
    <row r="1308" spans="3:5" ht="14.25">
      <c r="C1308" s="504"/>
      <c r="D1308" s="504"/>
      <c r="E1308" s="504"/>
    </row>
    <row r="1309" spans="3:5" ht="14.25">
      <c r="C1309" s="504"/>
      <c r="D1309" s="504"/>
      <c r="E1309" s="504"/>
    </row>
    <row r="1310" spans="3:5" ht="14.25">
      <c r="C1310" s="504"/>
      <c r="D1310" s="504"/>
      <c r="E1310" s="504"/>
    </row>
    <row r="1311" spans="3:5" ht="14.25">
      <c r="C1311" s="504"/>
      <c r="D1311" s="504"/>
      <c r="E1311" s="504"/>
    </row>
    <row r="1312" spans="3:5" ht="14.25">
      <c r="C1312" s="504"/>
      <c r="D1312" s="504"/>
      <c r="E1312" s="504"/>
    </row>
    <row r="1313" spans="3:5" ht="14.25">
      <c r="C1313" s="504"/>
      <c r="D1313" s="504"/>
      <c r="E1313" s="504"/>
    </row>
    <row r="1314" spans="3:5" ht="14.25">
      <c r="C1314" s="504"/>
      <c r="D1314" s="504"/>
      <c r="E1314" s="504"/>
    </row>
    <row r="1315" spans="3:5" ht="14.25">
      <c r="C1315" s="504"/>
      <c r="D1315" s="504"/>
      <c r="E1315" s="504"/>
    </row>
    <row r="1316" spans="3:5" ht="14.25">
      <c r="C1316" s="504"/>
      <c r="D1316" s="504"/>
      <c r="E1316" s="504"/>
    </row>
    <row r="1317" spans="3:5" ht="14.25">
      <c r="C1317" s="504"/>
      <c r="D1317" s="504"/>
      <c r="E1317" s="504"/>
    </row>
    <row r="1318" spans="3:5" ht="14.25">
      <c r="C1318" s="504"/>
      <c r="D1318" s="504"/>
      <c r="E1318" s="504"/>
    </row>
    <row r="1319" spans="3:5" ht="14.25">
      <c r="C1319" s="504"/>
      <c r="D1319" s="504"/>
      <c r="E1319" s="504"/>
    </row>
    <row r="1320" spans="3:5" ht="14.25">
      <c r="C1320" s="504"/>
      <c r="D1320" s="504"/>
      <c r="E1320" s="504"/>
    </row>
    <row r="1321" spans="3:5" ht="14.25">
      <c r="C1321" s="504"/>
      <c r="D1321" s="504"/>
      <c r="E1321" s="504"/>
    </row>
    <row r="1322" spans="3:5" ht="14.25">
      <c r="C1322" s="504"/>
      <c r="D1322" s="504"/>
      <c r="E1322" s="504"/>
    </row>
    <row r="1323" spans="3:5" ht="14.25">
      <c r="C1323" s="504"/>
      <c r="D1323" s="504"/>
      <c r="E1323" s="504"/>
    </row>
    <row r="1324" spans="3:5" ht="14.25">
      <c r="C1324" s="504"/>
      <c r="D1324" s="504"/>
      <c r="E1324" s="504"/>
    </row>
    <row r="1325" spans="3:5" ht="14.25">
      <c r="C1325" s="504"/>
      <c r="D1325" s="504"/>
      <c r="E1325" s="504"/>
    </row>
    <row r="1326" spans="3:5" ht="14.25">
      <c r="C1326" s="504"/>
      <c r="D1326" s="504"/>
      <c r="E1326" s="504"/>
    </row>
    <row r="1327" spans="3:5" ht="14.25">
      <c r="C1327" s="504"/>
      <c r="D1327" s="504"/>
      <c r="E1327" s="504"/>
    </row>
    <row r="1328" spans="3:5" ht="14.25">
      <c r="C1328" s="504"/>
      <c r="D1328" s="504"/>
      <c r="E1328" s="504"/>
    </row>
    <row r="1329" spans="3:5" ht="14.25">
      <c r="C1329" s="504"/>
      <c r="D1329" s="504"/>
      <c r="E1329" s="504"/>
    </row>
    <row r="1330" spans="3:5" ht="14.25">
      <c r="C1330" s="504"/>
      <c r="D1330" s="504"/>
      <c r="E1330" s="504"/>
    </row>
    <row r="1331" spans="3:5" ht="14.25">
      <c r="C1331" s="504"/>
      <c r="D1331" s="504"/>
      <c r="E1331" s="504"/>
    </row>
    <row r="1332" spans="3:5" ht="14.25">
      <c r="C1332" s="504"/>
      <c r="D1332" s="504"/>
      <c r="E1332" s="504"/>
    </row>
    <row r="1333" spans="3:5" ht="14.25">
      <c r="C1333" s="504"/>
      <c r="D1333" s="504"/>
      <c r="E1333" s="504"/>
    </row>
    <row r="1334" spans="3:5" ht="14.25">
      <c r="C1334" s="504"/>
      <c r="D1334" s="504"/>
      <c r="E1334" s="504"/>
    </row>
    <row r="1335" spans="3:5" ht="14.25">
      <c r="C1335" s="504"/>
      <c r="D1335" s="504"/>
      <c r="E1335" s="504"/>
    </row>
    <row r="1336" spans="3:5" ht="14.25">
      <c r="C1336" s="504"/>
      <c r="D1336" s="504"/>
      <c r="E1336" s="504"/>
    </row>
    <row r="1337" spans="3:5" ht="14.25">
      <c r="C1337" s="504"/>
      <c r="D1337" s="504"/>
      <c r="E1337" s="504"/>
    </row>
    <row r="1338" spans="3:5" ht="14.25">
      <c r="C1338" s="504"/>
      <c r="D1338" s="504"/>
      <c r="E1338" s="504"/>
    </row>
    <row r="1339" spans="3:5" ht="14.25">
      <c r="C1339" s="504"/>
      <c r="D1339" s="504"/>
      <c r="E1339" s="504"/>
    </row>
    <row r="1340" spans="3:5" ht="14.25">
      <c r="C1340" s="504"/>
      <c r="D1340" s="504"/>
      <c r="E1340" s="504"/>
    </row>
    <row r="1341" spans="3:5" ht="14.25">
      <c r="C1341" s="504"/>
      <c r="D1341" s="504"/>
      <c r="E1341" s="504"/>
    </row>
    <row r="1342" spans="3:5" ht="14.25">
      <c r="C1342" s="504"/>
      <c r="D1342" s="504"/>
      <c r="E1342" s="504"/>
    </row>
    <row r="1343" spans="3:5" ht="14.25">
      <c r="C1343" s="504"/>
      <c r="D1343" s="504"/>
      <c r="E1343" s="504"/>
    </row>
    <row r="1344" spans="3:5" ht="14.25">
      <c r="C1344" s="504"/>
      <c r="D1344" s="504"/>
      <c r="E1344" s="504"/>
    </row>
    <row r="1345" spans="3:5" ht="14.25">
      <c r="C1345" s="504"/>
      <c r="D1345" s="504"/>
      <c r="E1345" s="504"/>
    </row>
    <row r="1346" spans="3:5" ht="14.25">
      <c r="C1346" s="504"/>
      <c r="D1346" s="504"/>
      <c r="E1346" s="504"/>
    </row>
    <row r="1347" spans="3:5" ht="14.25">
      <c r="C1347" s="504"/>
      <c r="D1347" s="504"/>
      <c r="E1347" s="504"/>
    </row>
    <row r="1348" spans="3:5" ht="14.25">
      <c r="C1348" s="504"/>
      <c r="D1348" s="504"/>
      <c r="E1348" s="504"/>
    </row>
    <row r="1349" spans="3:5" ht="14.25">
      <c r="C1349" s="504"/>
      <c r="D1349" s="504"/>
      <c r="E1349" s="504"/>
    </row>
    <row r="1350" spans="3:5" ht="14.25">
      <c r="C1350" s="504"/>
      <c r="D1350" s="504"/>
      <c r="E1350" s="504"/>
    </row>
    <row r="1351" spans="3:5" ht="14.25">
      <c r="C1351" s="504"/>
      <c r="D1351" s="504"/>
      <c r="E1351" s="504"/>
    </row>
    <row r="1352" spans="3:5" ht="14.25">
      <c r="C1352" s="504"/>
      <c r="D1352" s="504"/>
      <c r="E1352" s="504"/>
    </row>
    <row r="1353" spans="3:5" ht="14.25">
      <c r="C1353" s="504"/>
      <c r="D1353" s="504"/>
      <c r="E1353" s="504"/>
    </row>
    <row r="1354" spans="3:5" ht="14.25">
      <c r="C1354" s="504"/>
      <c r="D1354" s="504"/>
      <c r="E1354" s="504"/>
    </row>
    <row r="1355" spans="3:5" ht="14.25">
      <c r="C1355" s="504"/>
      <c r="D1355" s="504"/>
      <c r="E1355" s="504"/>
    </row>
    <row r="1356" spans="3:5" ht="14.25">
      <c r="C1356" s="504"/>
      <c r="D1356" s="504"/>
      <c r="E1356" s="504"/>
    </row>
    <row r="1357" spans="3:5" ht="14.25">
      <c r="C1357" s="504"/>
      <c r="D1357" s="504"/>
      <c r="E1357" s="504"/>
    </row>
    <row r="1358" spans="3:5" ht="14.25">
      <c r="C1358" s="504"/>
      <c r="D1358" s="504"/>
      <c r="E1358" s="504"/>
    </row>
    <row r="1359" spans="3:5" ht="14.25">
      <c r="C1359" s="504"/>
      <c r="D1359" s="504"/>
      <c r="E1359" s="504"/>
    </row>
    <row r="1360" spans="3:5" ht="14.25">
      <c r="C1360" s="504"/>
      <c r="D1360" s="504"/>
      <c r="E1360" s="504"/>
    </row>
    <row r="1361" spans="3:5" ht="14.25">
      <c r="C1361" s="504"/>
      <c r="D1361" s="504"/>
      <c r="E1361" s="504"/>
    </row>
    <row r="1362" spans="3:5" ht="14.25">
      <c r="C1362" s="504"/>
      <c r="D1362" s="504"/>
      <c r="E1362" s="504"/>
    </row>
    <row r="1363" spans="3:5" ht="14.25">
      <c r="C1363" s="504"/>
      <c r="D1363" s="504"/>
      <c r="E1363" s="504"/>
    </row>
    <row r="1364" spans="3:5" ht="14.25">
      <c r="C1364" s="504"/>
      <c r="D1364" s="504"/>
      <c r="E1364" s="504"/>
    </row>
    <row r="1365" spans="3:5" ht="14.25">
      <c r="C1365" s="504"/>
      <c r="D1365" s="504"/>
      <c r="E1365" s="504"/>
    </row>
    <row r="1366" spans="3:5" ht="14.25">
      <c r="C1366" s="504"/>
      <c r="D1366" s="504"/>
      <c r="E1366" s="504"/>
    </row>
    <row r="1367" spans="3:5" ht="14.25">
      <c r="C1367" s="504"/>
      <c r="D1367" s="504"/>
      <c r="E1367" s="504"/>
    </row>
    <row r="1368" spans="3:5" ht="14.25">
      <c r="C1368" s="504"/>
      <c r="D1368" s="504"/>
      <c r="E1368" s="504"/>
    </row>
    <row r="1369" spans="3:5" ht="14.25">
      <c r="C1369" s="504"/>
      <c r="D1369" s="504"/>
      <c r="E1369" s="504"/>
    </row>
    <row r="1370" spans="3:5" ht="14.25">
      <c r="C1370" s="504"/>
      <c r="D1370" s="504"/>
      <c r="E1370" s="504"/>
    </row>
    <row r="1371" spans="3:5" ht="14.25">
      <c r="C1371" s="504"/>
      <c r="D1371" s="504"/>
      <c r="E1371" s="504"/>
    </row>
    <row r="1372" spans="3:5" ht="14.25">
      <c r="C1372" s="504"/>
      <c r="D1372" s="504"/>
      <c r="E1372" s="504"/>
    </row>
    <row r="1373" spans="3:5" ht="14.25">
      <c r="C1373" s="504"/>
      <c r="D1373" s="504"/>
      <c r="E1373" s="504"/>
    </row>
    <row r="1374" spans="3:5" ht="14.25">
      <c r="C1374" s="504"/>
      <c r="D1374" s="504"/>
      <c r="E1374" s="504"/>
    </row>
    <row r="1375" spans="3:5" ht="14.25">
      <c r="C1375" s="504"/>
      <c r="D1375" s="504"/>
      <c r="E1375" s="504"/>
    </row>
    <row r="1376" spans="3:5" ht="14.25">
      <c r="C1376" s="504"/>
      <c r="D1376" s="504"/>
      <c r="E1376" s="504"/>
    </row>
    <row r="1377" spans="3:5" ht="14.25">
      <c r="C1377" s="504"/>
      <c r="D1377" s="504"/>
      <c r="E1377" s="504"/>
    </row>
    <row r="1378" spans="3:5" ht="14.25">
      <c r="C1378" s="504"/>
      <c r="D1378" s="504"/>
      <c r="E1378" s="504"/>
    </row>
    <row r="1379" spans="3:5" ht="14.25">
      <c r="C1379" s="504"/>
      <c r="D1379" s="504"/>
      <c r="E1379" s="504"/>
    </row>
    <row r="1380" spans="3:5" ht="14.25">
      <c r="C1380" s="504"/>
      <c r="D1380" s="504"/>
      <c r="E1380" s="504"/>
    </row>
    <row r="1381" spans="3:5" ht="14.25">
      <c r="C1381" s="504"/>
      <c r="D1381" s="504"/>
      <c r="E1381" s="504"/>
    </row>
    <row r="1382" spans="3:5" ht="14.25">
      <c r="C1382" s="504"/>
      <c r="D1382" s="504"/>
      <c r="E1382" s="504"/>
    </row>
    <row r="1383" spans="3:5" ht="14.25">
      <c r="C1383" s="504"/>
      <c r="D1383" s="504"/>
      <c r="E1383" s="504"/>
    </row>
    <row r="1384" spans="3:5" ht="14.25">
      <c r="C1384" s="504"/>
      <c r="D1384" s="504"/>
      <c r="E1384" s="504"/>
    </row>
    <row r="1385" spans="3:5" ht="14.25">
      <c r="C1385" s="504"/>
      <c r="D1385" s="504"/>
      <c r="E1385" s="504"/>
    </row>
    <row r="1386" spans="3:5" ht="14.25">
      <c r="C1386" s="504"/>
      <c r="D1386" s="504"/>
      <c r="E1386" s="504"/>
    </row>
    <row r="1387" spans="3:5" ht="14.25">
      <c r="C1387" s="504"/>
      <c r="D1387" s="504"/>
      <c r="E1387" s="504"/>
    </row>
    <row r="1388" spans="3:5" ht="14.25">
      <c r="C1388" s="504"/>
      <c r="D1388" s="504"/>
      <c r="E1388" s="504"/>
    </row>
    <row r="1389" spans="3:5" ht="14.25">
      <c r="C1389" s="504"/>
      <c r="D1389" s="504"/>
      <c r="E1389" s="504"/>
    </row>
    <row r="1390" spans="3:5" ht="14.25">
      <c r="C1390" s="504"/>
      <c r="D1390" s="504"/>
      <c r="E1390" s="504"/>
    </row>
    <row r="1391" spans="3:5" ht="14.25">
      <c r="C1391" s="504"/>
      <c r="D1391" s="504"/>
      <c r="E1391" s="504"/>
    </row>
    <row r="1392" spans="3:5" ht="14.25">
      <c r="C1392" s="504"/>
      <c r="D1392" s="504"/>
      <c r="E1392" s="504"/>
    </row>
    <row r="1393" spans="3:5" ht="14.25">
      <c r="C1393" s="504"/>
      <c r="D1393" s="504"/>
      <c r="E1393" s="504"/>
    </row>
    <row r="1394" spans="3:5" ht="14.25">
      <c r="C1394" s="504"/>
      <c r="D1394" s="504"/>
      <c r="E1394" s="504"/>
    </row>
    <row r="1395" spans="3:5" ht="14.25">
      <c r="C1395" s="504"/>
      <c r="D1395" s="504"/>
      <c r="E1395" s="504"/>
    </row>
    <row r="1396" spans="3:5" ht="14.25">
      <c r="C1396" s="504"/>
      <c r="D1396" s="504"/>
      <c r="E1396" s="504"/>
    </row>
    <row r="1397" spans="3:5" ht="14.25">
      <c r="C1397" s="504"/>
      <c r="D1397" s="504"/>
      <c r="E1397" s="504"/>
    </row>
    <row r="1398" spans="3:5" ht="14.25">
      <c r="C1398" s="504"/>
      <c r="D1398" s="504"/>
      <c r="E1398" s="504"/>
    </row>
    <row r="1399" spans="3:5" ht="14.25">
      <c r="C1399" s="504"/>
      <c r="D1399" s="504"/>
      <c r="E1399" s="504"/>
    </row>
    <row r="1400" spans="3:5" ht="14.25">
      <c r="C1400" s="504"/>
      <c r="D1400" s="504"/>
      <c r="E1400" s="504"/>
    </row>
    <row r="1401" spans="3:5" ht="14.25">
      <c r="C1401" s="504"/>
      <c r="D1401" s="504"/>
      <c r="E1401" s="504"/>
    </row>
    <row r="1402" spans="3:5" ht="14.25">
      <c r="C1402" s="504"/>
      <c r="D1402" s="504"/>
      <c r="E1402" s="504"/>
    </row>
    <row r="1403" spans="3:5" ht="14.25">
      <c r="C1403" s="504"/>
      <c r="D1403" s="504"/>
      <c r="E1403" s="504"/>
    </row>
    <row r="1404" spans="3:5" ht="14.25">
      <c r="C1404" s="504"/>
      <c r="D1404" s="504"/>
      <c r="E1404" s="504"/>
    </row>
    <row r="1405" spans="3:5" ht="14.25">
      <c r="C1405" s="504"/>
      <c r="D1405" s="504"/>
      <c r="E1405" s="504"/>
    </row>
    <row r="1406" spans="3:5" ht="14.25">
      <c r="C1406" s="504"/>
      <c r="D1406" s="504"/>
      <c r="E1406" s="504"/>
    </row>
    <row r="1407" spans="3:5" ht="14.25">
      <c r="C1407" s="504"/>
      <c r="D1407" s="504"/>
      <c r="E1407" s="504"/>
    </row>
    <row r="1408" spans="3:5" ht="14.25">
      <c r="C1408" s="504"/>
      <c r="D1408" s="504"/>
      <c r="E1408" s="504"/>
    </row>
    <row r="1409" spans="3:5" ht="14.25">
      <c r="C1409" s="504"/>
      <c r="D1409" s="504"/>
      <c r="E1409" s="504"/>
    </row>
    <row r="1410" spans="3:5" ht="14.25">
      <c r="C1410" s="504"/>
      <c r="D1410" s="504"/>
      <c r="E1410" s="504"/>
    </row>
    <row r="1411" spans="3:5" ht="14.25">
      <c r="C1411" s="504"/>
      <c r="D1411" s="504"/>
      <c r="E1411" s="504"/>
    </row>
    <row r="1412" spans="3:5" ht="14.25">
      <c r="C1412" s="504"/>
      <c r="D1412" s="504"/>
      <c r="E1412" s="504"/>
    </row>
    <row r="1413" spans="3:5" ht="14.25">
      <c r="C1413" s="504"/>
      <c r="D1413" s="504"/>
      <c r="E1413" s="504"/>
    </row>
    <row r="1414" spans="3:5" ht="14.25">
      <c r="C1414" s="504"/>
      <c r="D1414" s="504"/>
      <c r="E1414" s="504"/>
    </row>
    <row r="1415" spans="3:5" ht="14.25">
      <c r="C1415" s="504"/>
      <c r="D1415" s="504"/>
      <c r="E1415" s="504"/>
    </row>
    <row r="1416" spans="3:5" ht="14.25">
      <c r="C1416" s="504"/>
      <c r="D1416" s="504"/>
      <c r="E1416" s="504"/>
    </row>
    <row r="1417" spans="3:5" ht="14.25">
      <c r="C1417" s="504"/>
      <c r="D1417" s="504"/>
      <c r="E1417" s="504"/>
    </row>
    <row r="1418" spans="3:5" ht="14.25">
      <c r="C1418" s="504"/>
      <c r="D1418" s="504"/>
      <c r="E1418" s="504"/>
    </row>
    <row r="1419" spans="3:5" ht="14.25">
      <c r="C1419" s="504"/>
      <c r="D1419" s="504"/>
      <c r="E1419" s="504"/>
    </row>
    <row r="1420" spans="3:5" ht="14.25">
      <c r="C1420" s="504"/>
      <c r="D1420" s="504"/>
      <c r="E1420" s="504"/>
    </row>
    <row r="1421" spans="3:5" ht="14.25">
      <c r="C1421" s="504"/>
      <c r="D1421" s="504"/>
      <c r="E1421" s="504"/>
    </row>
    <row r="1422" spans="3:5" ht="14.25">
      <c r="C1422" s="504"/>
      <c r="D1422" s="504"/>
      <c r="E1422" s="504"/>
    </row>
    <row r="1423" spans="3:5" ht="14.25">
      <c r="C1423" s="504"/>
      <c r="D1423" s="504"/>
      <c r="E1423" s="504"/>
    </row>
    <row r="1424" spans="3:5" ht="14.25">
      <c r="C1424" s="504"/>
      <c r="D1424" s="504"/>
      <c r="E1424" s="504"/>
    </row>
    <row r="1425" spans="3:5" ht="14.25">
      <c r="C1425" s="504"/>
      <c r="D1425" s="504"/>
      <c r="E1425" s="504"/>
    </row>
    <row r="1426" spans="3:5" ht="14.25">
      <c r="C1426" s="504"/>
      <c r="D1426" s="504"/>
      <c r="E1426" s="504"/>
    </row>
    <row r="1427" spans="3:5" ht="14.25">
      <c r="C1427" s="504"/>
      <c r="D1427" s="504"/>
      <c r="E1427" s="504"/>
    </row>
    <row r="1428" spans="3:5" ht="14.25">
      <c r="C1428" s="504"/>
      <c r="D1428" s="504"/>
      <c r="E1428" s="504"/>
    </row>
    <row r="1429" spans="3:5" ht="14.25">
      <c r="C1429" s="504"/>
      <c r="D1429" s="504"/>
      <c r="E1429" s="504"/>
    </row>
    <row r="1430" spans="3:5" ht="14.25">
      <c r="C1430" s="504"/>
      <c r="D1430" s="504"/>
      <c r="E1430" s="504"/>
    </row>
    <row r="1431" spans="3:5" ht="14.25">
      <c r="C1431" s="504"/>
      <c r="D1431" s="504"/>
      <c r="E1431" s="504"/>
    </row>
    <row r="1432" spans="3:5" ht="14.25">
      <c r="C1432" s="504"/>
      <c r="D1432" s="504"/>
      <c r="E1432" s="504"/>
    </row>
    <row r="1433" spans="3:5" ht="14.25">
      <c r="C1433" s="504"/>
      <c r="D1433" s="504"/>
      <c r="E1433" s="504"/>
    </row>
    <row r="1434" spans="3:5" ht="14.25">
      <c r="C1434" s="504"/>
      <c r="D1434" s="504"/>
      <c r="E1434" s="504"/>
    </row>
    <row r="1435" spans="3:5" ht="14.25">
      <c r="C1435" s="504"/>
      <c r="D1435" s="504"/>
      <c r="E1435" s="504"/>
    </row>
    <row r="1436" spans="3:5" ht="14.25">
      <c r="C1436" s="504"/>
      <c r="D1436" s="504"/>
      <c r="E1436" s="504"/>
    </row>
    <row r="1437" spans="3:5" ht="14.25">
      <c r="C1437" s="504"/>
      <c r="D1437" s="504"/>
      <c r="E1437" s="504"/>
    </row>
    <row r="1438" spans="3:5" ht="14.25">
      <c r="C1438" s="504"/>
      <c r="D1438" s="504"/>
      <c r="E1438" s="504"/>
    </row>
  </sheetData>
  <sheetProtection/>
  <mergeCells count="2">
    <mergeCell ref="F8:G8"/>
    <mergeCell ref="F7:G7"/>
  </mergeCells>
  <printOptions horizontalCentered="1"/>
  <pageMargins left="0.15748031496062992" right="0.1968503937007874" top="0.97" bottom="0.5905511811023623" header="0.35433070866141736" footer="0.5118110236220472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/>
  <dimension ref="A1:J4"/>
  <sheetViews>
    <sheetView workbookViewId="0" topLeftCell="A1">
      <selection activeCell="F17" sqref="F17"/>
    </sheetView>
  </sheetViews>
  <sheetFormatPr defaultColWidth="9.00390625" defaultRowHeight="14.25"/>
  <cols>
    <col min="2" max="2" width="32.375" style="0" bestFit="1" customWidth="1"/>
    <col min="3" max="3" width="13.875" style="0" bestFit="1" customWidth="1"/>
    <col min="4" max="4" width="17.875" style="0" customWidth="1"/>
    <col min="5" max="5" width="14.375" style="0" customWidth="1"/>
  </cols>
  <sheetData>
    <row r="1" spans="1:5" ht="27" customHeight="1">
      <c r="A1" s="8" t="s">
        <v>703</v>
      </c>
      <c r="B1" s="8" t="s">
        <v>704</v>
      </c>
      <c r="C1" s="8" t="s">
        <v>705</v>
      </c>
      <c r="D1" s="8" t="s">
        <v>706</v>
      </c>
      <c r="E1" s="8" t="s">
        <v>707</v>
      </c>
    </row>
    <row r="2" spans="1:10" ht="26.25" customHeight="1">
      <c r="A2" s="8">
        <v>1111</v>
      </c>
      <c r="B2" s="8" t="s">
        <v>709</v>
      </c>
      <c r="C2" s="8" t="str">
        <f>LEFT(B2,(FIND("/",B2,1)-1))</f>
        <v>管理费用</v>
      </c>
      <c r="D2" s="8" t="str">
        <f>MID(B2,FIND("/",B2,1)+1,FIND("/",B2,FIND("/",B2,1)+1)-FIND("/",B2,1)-1)</f>
        <v>差旅费</v>
      </c>
      <c r="E2" s="8" t="str">
        <f>RIGHT(B2,LEN(B2)-FIND("/",B2,FIND("/",B2,1)+1))</f>
        <v>总务部</v>
      </c>
      <c r="I2" s="1"/>
      <c r="J2" t="str">
        <f>RIGHT(B2,LEN(B2)-FIND("/",B2,1)-FIND("/",B2,FIND("/",B2,1)))</f>
        <v>务部</v>
      </c>
    </row>
    <row r="3" spans="1:5" ht="15.75">
      <c r="A3" s="8">
        <v>1112</v>
      </c>
      <c r="B3" s="9" t="s">
        <v>708</v>
      </c>
      <c r="C3" s="8" t="str">
        <f>LEFT(B3,(FIND("/",B3,1)-1))</f>
        <v>应交税金</v>
      </c>
      <c r="D3" s="8" t="str">
        <f>MID(B3,FIND("/",B3,1)+1,FIND("/",B3,FIND("/",B3,1)+1)-FIND("/",B3,1)-1)</f>
        <v>应交增值税</v>
      </c>
      <c r="E3" s="8" t="str">
        <f>RIGHT(B3,LEN(B3)-FIND("/",B3,FIND("/",B3,1)+1))</f>
        <v>进项税额</v>
      </c>
    </row>
    <row r="4" spans="2:5" ht="15.75">
      <c r="B4" s="9" t="s">
        <v>710</v>
      </c>
      <c r="C4" s="8" t="str">
        <f>LEFT(B4,(FIND("/",B4,1)-1))</f>
        <v>其他应交款</v>
      </c>
      <c r="D4" s="8" t="str">
        <f>MID(B4,FIND("/",B4,1)+1,FIND("/",B4,FIND("/",B4,1)+1)-FIND("/",B4,1)-1)</f>
        <v>教育费附加</v>
      </c>
      <c r="E4" s="8">
        <f>RIGHT(B4,LEN(B4)-FIND("/",B4,FIND("/",B4,1)+1))</f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3:C137"/>
  <sheetViews>
    <sheetView workbookViewId="0" topLeftCell="A1">
      <selection activeCell="E25" sqref="E25"/>
    </sheetView>
  </sheetViews>
  <sheetFormatPr defaultColWidth="9.00390625" defaultRowHeight="14.25"/>
  <cols>
    <col min="1" max="1" width="18.25390625" style="0" customWidth="1"/>
    <col min="3" max="3" width="24.75390625" style="0" customWidth="1"/>
  </cols>
  <sheetData>
    <row r="3" spans="1:3" ht="18.75">
      <c r="A3" s="529" t="s">
        <v>56</v>
      </c>
      <c r="B3" s="529"/>
      <c r="C3" s="529"/>
    </row>
    <row r="5" spans="1:3" ht="15">
      <c r="A5" s="502" t="s">
        <v>57</v>
      </c>
      <c r="B5" t="s">
        <v>58</v>
      </c>
      <c r="C5" t="s">
        <v>526</v>
      </c>
    </row>
    <row r="6" spans="1:2" ht="15">
      <c r="A6" s="526" t="s">
        <v>527</v>
      </c>
      <c r="B6" s="2"/>
    </row>
    <row r="7" spans="1:3" ht="14.25">
      <c r="A7" s="530">
        <v>1</v>
      </c>
      <c r="B7" s="528">
        <v>1001</v>
      </c>
      <c r="C7" t="s">
        <v>759</v>
      </c>
    </row>
    <row r="8" spans="1:3" ht="14.25">
      <c r="A8" s="530" t="s">
        <v>59</v>
      </c>
      <c r="B8" s="528" t="s">
        <v>60</v>
      </c>
      <c r="C8" t="s">
        <v>760</v>
      </c>
    </row>
    <row r="9" spans="1:3" ht="14.25">
      <c r="A9" s="530" t="s">
        <v>62</v>
      </c>
      <c r="B9" s="528" t="s">
        <v>63</v>
      </c>
      <c r="C9" t="s">
        <v>46</v>
      </c>
    </row>
    <row r="10" spans="1:3" ht="14.25">
      <c r="A10" s="530"/>
      <c r="B10" s="528" t="s">
        <v>64</v>
      </c>
      <c r="C10" t="s">
        <v>528</v>
      </c>
    </row>
    <row r="11" spans="1:3" ht="14.25">
      <c r="A11" s="530"/>
      <c r="B11" s="528" t="s">
        <v>65</v>
      </c>
      <c r="C11" t="s">
        <v>529</v>
      </c>
    </row>
    <row r="12" spans="1:3" ht="14.25">
      <c r="A12" s="530"/>
      <c r="B12" s="528" t="s">
        <v>66</v>
      </c>
      <c r="C12" t="s">
        <v>530</v>
      </c>
    </row>
    <row r="13" spans="1:3" ht="14.25">
      <c r="A13" s="530"/>
      <c r="B13" s="528" t="s">
        <v>67</v>
      </c>
      <c r="C13" t="s">
        <v>531</v>
      </c>
    </row>
    <row r="14" spans="1:3" ht="14.25">
      <c r="A14" s="530"/>
      <c r="B14" s="528" t="s">
        <v>68</v>
      </c>
      <c r="C14" t="s">
        <v>532</v>
      </c>
    </row>
    <row r="15" spans="1:3" ht="14.25">
      <c r="A15" s="530"/>
      <c r="B15" s="528" t="s">
        <v>69</v>
      </c>
      <c r="C15" t="s">
        <v>533</v>
      </c>
    </row>
    <row r="16" spans="1:3" ht="14.25">
      <c r="A16" s="530" t="s">
        <v>534</v>
      </c>
      <c r="B16" s="528" t="s">
        <v>70</v>
      </c>
      <c r="C16" t="s">
        <v>728</v>
      </c>
    </row>
    <row r="17" spans="1:3" ht="14.25">
      <c r="A17" s="530"/>
      <c r="B17" s="528" t="s">
        <v>71</v>
      </c>
      <c r="C17" t="s">
        <v>535</v>
      </c>
    </row>
    <row r="18" spans="1:3" ht="14.25">
      <c r="A18" s="530"/>
      <c r="B18" s="528" t="s">
        <v>72</v>
      </c>
      <c r="C18" t="s">
        <v>536</v>
      </c>
    </row>
    <row r="19" spans="1:3" ht="14.25">
      <c r="A19" s="530"/>
      <c r="B19" s="528" t="s">
        <v>73</v>
      </c>
      <c r="C19" t="s">
        <v>537</v>
      </c>
    </row>
    <row r="20" spans="1:3" ht="14.25">
      <c r="A20" s="530"/>
      <c r="B20" s="528" t="s">
        <v>74</v>
      </c>
      <c r="C20" t="s">
        <v>1019</v>
      </c>
    </row>
    <row r="21" spans="1:3" ht="14.25">
      <c r="A21" s="530" t="s">
        <v>75</v>
      </c>
      <c r="B21" s="528" t="s">
        <v>76</v>
      </c>
      <c r="C21" t="s">
        <v>729</v>
      </c>
    </row>
    <row r="22" spans="1:3" ht="14.25">
      <c r="A22" s="530" t="s">
        <v>77</v>
      </c>
      <c r="B22" s="528" t="s">
        <v>78</v>
      </c>
      <c r="C22" t="s">
        <v>761</v>
      </c>
    </row>
    <row r="23" spans="1:3" ht="14.25">
      <c r="A23" s="530" t="s">
        <v>79</v>
      </c>
      <c r="B23" s="528" t="s">
        <v>80</v>
      </c>
      <c r="C23" t="s">
        <v>538</v>
      </c>
    </row>
    <row r="24" spans="1:3" ht="14.25">
      <c r="A24" s="530" t="s">
        <v>81</v>
      </c>
      <c r="B24" s="528" t="s">
        <v>82</v>
      </c>
      <c r="C24" t="s">
        <v>47</v>
      </c>
    </row>
    <row r="25" spans="1:3" ht="14.25">
      <c r="A25" s="530" t="s">
        <v>83</v>
      </c>
      <c r="B25" s="528" t="s">
        <v>84</v>
      </c>
      <c r="C25" t="s">
        <v>48</v>
      </c>
    </row>
    <row r="26" spans="1:3" ht="14.25">
      <c r="A26" s="530" t="s">
        <v>85</v>
      </c>
      <c r="B26" s="528" t="s">
        <v>87</v>
      </c>
      <c r="C26" t="s">
        <v>49</v>
      </c>
    </row>
    <row r="27" spans="1:3" ht="14.25">
      <c r="A27" s="530" t="s">
        <v>88</v>
      </c>
      <c r="B27" s="528" t="s">
        <v>89</v>
      </c>
      <c r="C27" t="s">
        <v>539</v>
      </c>
    </row>
    <row r="28" spans="1:3" ht="14.25">
      <c r="A28" s="530" t="s">
        <v>90</v>
      </c>
      <c r="B28" s="528" t="s">
        <v>91</v>
      </c>
      <c r="C28" t="s">
        <v>540</v>
      </c>
    </row>
    <row r="29" spans="1:3" ht="14.25">
      <c r="A29" s="530" t="s">
        <v>92</v>
      </c>
      <c r="B29" s="528" t="s">
        <v>93</v>
      </c>
      <c r="C29" t="s">
        <v>726</v>
      </c>
    </row>
    <row r="30" spans="1:3" ht="14.25">
      <c r="A30" s="530" t="s">
        <v>94</v>
      </c>
      <c r="B30" s="528" t="s">
        <v>95</v>
      </c>
      <c r="C30" t="s">
        <v>734</v>
      </c>
    </row>
    <row r="31" spans="1:3" ht="14.25">
      <c r="A31" s="530" t="s">
        <v>96</v>
      </c>
      <c r="B31" s="528" t="s">
        <v>97</v>
      </c>
      <c r="C31" t="s">
        <v>738</v>
      </c>
    </row>
    <row r="32" spans="1:3" ht="14.25">
      <c r="A32" s="530" t="s">
        <v>98</v>
      </c>
      <c r="B32" s="528" t="s">
        <v>99</v>
      </c>
      <c r="C32" t="s">
        <v>50</v>
      </c>
    </row>
    <row r="33" spans="1:3" ht="14.25">
      <c r="A33" s="530" t="s">
        <v>100</v>
      </c>
      <c r="B33" s="528" t="s">
        <v>101</v>
      </c>
      <c r="C33" t="s">
        <v>743</v>
      </c>
    </row>
    <row r="34" spans="1:3" ht="14.25">
      <c r="A34" s="530" t="s">
        <v>102</v>
      </c>
      <c r="B34" s="528" t="s">
        <v>103</v>
      </c>
      <c r="C34" t="s">
        <v>723</v>
      </c>
    </row>
    <row r="35" spans="1:3" ht="14.25">
      <c r="A35" s="530" t="s">
        <v>104</v>
      </c>
      <c r="B35" s="528" t="s">
        <v>105</v>
      </c>
      <c r="C35" t="s">
        <v>724</v>
      </c>
    </row>
    <row r="36" spans="1:3" ht="14.25">
      <c r="A36" s="530" t="s">
        <v>106</v>
      </c>
      <c r="B36" s="528" t="s">
        <v>107</v>
      </c>
      <c r="C36" t="s">
        <v>719</v>
      </c>
    </row>
    <row r="37" spans="1:3" ht="14.25">
      <c r="A37" s="530"/>
      <c r="B37" s="528" t="s">
        <v>108</v>
      </c>
      <c r="C37" t="s">
        <v>541</v>
      </c>
    </row>
    <row r="38" spans="1:3" ht="14.25">
      <c r="A38" s="530"/>
      <c r="B38" s="528" t="s">
        <v>109</v>
      </c>
      <c r="C38" t="s">
        <v>542</v>
      </c>
    </row>
    <row r="39" spans="1:3" ht="14.25">
      <c r="A39" s="530" t="s">
        <v>110</v>
      </c>
      <c r="B39" s="528" t="s">
        <v>111</v>
      </c>
      <c r="C39" t="s">
        <v>722</v>
      </c>
    </row>
    <row r="40" spans="1:3" ht="14.25">
      <c r="A40" s="530"/>
      <c r="B40" s="528" t="s">
        <v>112</v>
      </c>
      <c r="C40" t="s">
        <v>543</v>
      </c>
    </row>
    <row r="41" spans="1:3" ht="14.25">
      <c r="A41" s="530"/>
      <c r="B41" s="528" t="s">
        <v>113</v>
      </c>
      <c r="C41" t="s">
        <v>544</v>
      </c>
    </row>
    <row r="42" spans="1:3" ht="14.25">
      <c r="A42" s="530" t="s">
        <v>114</v>
      </c>
      <c r="B42" s="528" t="s">
        <v>115</v>
      </c>
      <c r="C42" t="s">
        <v>732</v>
      </c>
    </row>
    <row r="43" spans="1:3" ht="14.25">
      <c r="A43" s="530" t="s">
        <v>116</v>
      </c>
      <c r="B43" s="528" t="s">
        <v>117</v>
      </c>
      <c r="C43" t="s">
        <v>735</v>
      </c>
    </row>
    <row r="44" spans="1:3" ht="14.25">
      <c r="A44" s="530" t="s">
        <v>118</v>
      </c>
      <c r="B44" s="528" t="s">
        <v>119</v>
      </c>
      <c r="C44" t="s">
        <v>731</v>
      </c>
    </row>
    <row r="45" spans="1:3" ht="14.25">
      <c r="A45" s="530" t="s">
        <v>120</v>
      </c>
      <c r="B45" s="528" t="s">
        <v>121</v>
      </c>
      <c r="C45" t="s">
        <v>753</v>
      </c>
    </row>
    <row r="46" spans="1:3" ht="14.25">
      <c r="A46" s="530"/>
      <c r="B46" s="528" t="s">
        <v>122</v>
      </c>
      <c r="C46" t="s">
        <v>545</v>
      </c>
    </row>
    <row r="47" spans="1:3" ht="14.25">
      <c r="A47" s="530"/>
      <c r="B47" s="528" t="s">
        <v>123</v>
      </c>
      <c r="C47" t="s">
        <v>546</v>
      </c>
    </row>
    <row r="48" spans="1:3" ht="14.25">
      <c r="A48" s="530"/>
      <c r="B48" s="528" t="s">
        <v>124</v>
      </c>
      <c r="C48" t="s">
        <v>547</v>
      </c>
    </row>
    <row r="49" spans="1:3" ht="14.25">
      <c r="A49" s="530"/>
      <c r="B49" s="528" t="s">
        <v>125</v>
      </c>
      <c r="C49" t="s">
        <v>548</v>
      </c>
    </row>
    <row r="50" spans="1:3" ht="14.25">
      <c r="A50" s="530" t="s">
        <v>126</v>
      </c>
      <c r="B50" s="528" t="s">
        <v>127</v>
      </c>
      <c r="C50" t="s">
        <v>733</v>
      </c>
    </row>
    <row r="51" spans="1:3" ht="14.25">
      <c r="A51" s="530" t="s">
        <v>128</v>
      </c>
      <c r="B51" s="528" t="s">
        <v>129</v>
      </c>
      <c r="C51" t="s">
        <v>51</v>
      </c>
    </row>
    <row r="52" spans="1:3" ht="14.25">
      <c r="A52" s="530" t="s">
        <v>130</v>
      </c>
      <c r="B52" s="528" t="s">
        <v>131</v>
      </c>
      <c r="C52" t="s">
        <v>52</v>
      </c>
    </row>
    <row r="53" spans="1:2" ht="15">
      <c r="A53" s="526" t="s">
        <v>549</v>
      </c>
      <c r="B53" s="528"/>
    </row>
    <row r="54" spans="1:3" ht="14.25">
      <c r="A54" s="530" t="s">
        <v>132</v>
      </c>
      <c r="B54" s="528" t="s">
        <v>133</v>
      </c>
      <c r="C54" t="s">
        <v>727</v>
      </c>
    </row>
    <row r="55" spans="1:3" ht="14.25">
      <c r="A55" s="530" t="s">
        <v>134</v>
      </c>
      <c r="B55" s="528" t="s">
        <v>135</v>
      </c>
      <c r="C55" t="s">
        <v>746</v>
      </c>
    </row>
    <row r="56" spans="1:3" ht="14.25">
      <c r="A56" s="530" t="s">
        <v>136</v>
      </c>
      <c r="B56" s="528" t="s">
        <v>137</v>
      </c>
      <c r="C56" t="s">
        <v>762</v>
      </c>
    </row>
    <row r="57" spans="1:3" ht="14.25">
      <c r="A57" s="530" t="s">
        <v>138</v>
      </c>
      <c r="B57" s="528" t="s">
        <v>139</v>
      </c>
      <c r="C57" t="s">
        <v>745</v>
      </c>
    </row>
    <row r="58" spans="1:3" ht="14.25">
      <c r="A58" s="530" t="s">
        <v>140</v>
      </c>
      <c r="B58" s="528" t="s">
        <v>141</v>
      </c>
      <c r="C58" t="s">
        <v>744</v>
      </c>
    </row>
    <row r="59" spans="1:3" ht="14.25">
      <c r="A59" s="530" t="s">
        <v>142</v>
      </c>
      <c r="B59" s="528" t="s">
        <v>143</v>
      </c>
      <c r="C59" t="s">
        <v>550</v>
      </c>
    </row>
    <row r="60" spans="1:3" ht="14.25">
      <c r="A60" s="530" t="s">
        <v>144</v>
      </c>
      <c r="B60" s="528" t="s">
        <v>145</v>
      </c>
      <c r="C60" t="s">
        <v>747</v>
      </c>
    </row>
    <row r="61" spans="1:3" ht="14.25">
      <c r="A61" s="530"/>
      <c r="B61" s="528" t="s">
        <v>146</v>
      </c>
      <c r="C61" t="s">
        <v>551</v>
      </c>
    </row>
    <row r="62" spans="1:3" ht="14.25">
      <c r="A62" s="530"/>
      <c r="B62" s="528" t="s">
        <v>147</v>
      </c>
      <c r="C62" t="s">
        <v>552</v>
      </c>
    </row>
    <row r="63" spans="1:3" ht="14.25">
      <c r="A63" s="530"/>
      <c r="B63" s="528" t="s">
        <v>148</v>
      </c>
      <c r="C63" t="s">
        <v>553</v>
      </c>
    </row>
    <row r="64" spans="1:3" ht="14.25">
      <c r="A64" s="530"/>
      <c r="B64" s="528" t="s">
        <v>149</v>
      </c>
      <c r="C64" t="s">
        <v>554</v>
      </c>
    </row>
    <row r="65" spans="1:3" ht="14.25">
      <c r="A65" s="530"/>
      <c r="B65" s="528" t="s">
        <v>150</v>
      </c>
      <c r="C65" t="s">
        <v>555</v>
      </c>
    </row>
    <row r="66" spans="1:3" ht="14.25">
      <c r="A66" s="530"/>
      <c r="B66" s="528" t="s">
        <v>151</v>
      </c>
      <c r="C66" t="s">
        <v>556</v>
      </c>
    </row>
    <row r="67" spans="1:3" ht="14.25">
      <c r="A67" s="530"/>
      <c r="B67" s="528" t="s">
        <v>152</v>
      </c>
      <c r="C67" t="s">
        <v>153</v>
      </c>
    </row>
    <row r="68" spans="1:3" ht="14.25">
      <c r="A68" s="530"/>
      <c r="B68" s="528" t="s">
        <v>154</v>
      </c>
      <c r="C68" t="s">
        <v>557</v>
      </c>
    </row>
    <row r="69" spans="1:3" ht="14.25">
      <c r="A69" s="530"/>
      <c r="B69" s="528" t="s">
        <v>155</v>
      </c>
      <c r="C69" t="s">
        <v>558</v>
      </c>
    </row>
    <row r="70" spans="1:3" ht="14.25">
      <c r="A70" s="530"/>
      <c r="B70" s="528" t="s">
        <v>156</v>
      </c>
      <c r="C70" t="s">
        <v>559</v>
      </c>
    </row>
    <row r="71" spans="1:3" ht="14.25">
      <c r="A71" s="530"/>
      <c r="B71" s="528" t="s">
        <v>157</v>
      </c>
      <c r="C71" t="s">
        <v>560</v>
      </c>
    </row>
    <row r="72" spans="1:3" ht="14.25">
      <c r="A72" s="530"/>
      <c r="B72" s="528" t="s">
        <v>158</v>
      </c>
      <c r="C72" t="s">
        <v>561</v>
      </c>
    </row>
    <row r="73" spans="1:3" ht="14.25">
      <c r="A73" s="530"/>
      <c r="B73" s="528" t="s">
        <v>159</v>
      </c>
      <c r="C73" t="s">
        <v>562</v>
      </c>
    </row>
    <row r="74" spans="1:3" ht="14.25">
      <c r="A74" s="530"/>
      <c r="B74" s="528" t="s">
        <v>160</v>
      </c>
      <c r="C74" t="s">
        <v>563</v>
      </c>
    </row>
    <row r="75" spans="1:3" ht="14.25">
      <c r="A75" s="530"/>
      <c r="B75" s="528" t="s">
        <v>161</v>
      </c>
      <c r="C75" t="s">
        <v>564</v>
      </c>
    </row>
    <row r="76" spans="1:3" ht="14.25">
      <c r="A76" s="530"/>
      <c r="B76" s="528" t="s">
        <v>162</v>
      </c>
      <c r="C76" t="s">
        <v>565</v>
      </c>
    </row>
    <row r="77" spans="1:3" ht="14.25">
      <c r="A77" s="530"/>
      <c r="B77" s="528" t="s">
        <v>163</v>
      </c>
      <c r="C77" t="s">
        <v>566</v>
      </c>
    </row>
    <row r="78" spans="1:3" ht="14.25">
      <c r="A78" s="530"/>
      <c r="B78" s="528" t="s">
        <v>164</v>
      </c>
      <c r="C78" t="s">
        <v>567</v>
      </c>
    </row>
    <row r="79" spans="1:3" ht="14.25">
      <c r="A79" s="530"/>
      <c r="B79" s="528" t="s">
        <v>165</v>
      </c>
      <c r="C79" t="s">
        <v>568</v>
      </c>
    </row>
    <row r="80" spans="1:3" ht="14.25">
      <c r="A80" s="530"/>
      <c r="B80" s="528" t="s">
        <v>166</v>
      </c>
      <c r="C80" t="s">
        <v>569</v>
      </c>
    </row>
    <row r="81" spans="1:3" ht="14.25">
      <c r="A81" s="530"/>
      <c r="B81" s="528" t="s">
        <v>167</v>
      </c>
      <c r="C81" t="s">
        <v>570</v>
      </c>
    </row>
    <row r="82" spans="1:3" ht="14.25">
      <c r="A82" s="530" t="s">
        <v>168</v>
      </c>
      <c r="B82" s="528" t="s">
        <v>169</v>
      </c>
      <c r="C82" t="s">
        <v>53</v>
      </c>
    </row>
    <row r="83" spans="1:3" ht="14.25">
      <c r="A83" s="530" t="s">
        <v>170</v>
      </c>
      <c r="B83" s="528" t="s">
        <v>171</v>
      </c>
      <c r="C83" t="s">
        <v>813</v>
      </c>
    </row>
    <row r="84" spans="1:3" ht="14.25">
      <c r="A84" s="530" t="s">
        <v>172</v>
      </c>
      <c r="B84" s="528" t="s">
        <v>173</v>
      </c>
      <c r="C84" t="s">
        <v>752</v>
      </c>
    </row>
    <row r="85" spans="1:3" ht="14.25">
      <c r="A85" s="530" t="s">
        <v>174</v>
      </c>
      <c r="B85" s="528" t="s">
        <v>175</v>
      </c>
      <c r="C85" t="s">
        <v>725</v>
      </c>
    </row>
    <row r="86" spans="1:3" ht="14.25">
      <c r="A86" s="530"/>
      <c r="B86" s="528" t="s">
        <v>176</v>
      </c>
      <c r="C86" t="s">
        <v>571</v>
      </c>
    </row>
    <row r="87" spans="1:3" ht="14.25">
      <c r="A87" s="530"/>
      <c r="B87" s="528" t="s">
        <v>177</v>
      </c>
      <c r="C87" t="s">
        <v>572</v>
      </c>
    </row>
    <row r="88" spans="1:3" ht="14.25">
      <c r="A88" s="530" t="s">
        <v>178</v>
      </c>
      <c r="B88" s="528" t="s">
        <v>179</v>
      </c>
      <c r="C88" t="s">
        <v>720</v>
      </c>
    </row>
    <row r="89" spans="1:3" ht="14.25">
      <c r="A89" s="530" t="s">
        <v>180</v>
      </c>
      <c r="B89" s="528" t="s">
        <v>181</v>
      </c>
      <c r="C89" t="s">
        <v>721</v>
      </c>
    </row>
    <row r="90" spans="1:2" ht="15">
      <c r="A90" s="526" t="s">
        <v>573</v>
      </c>
      <c r="B90" s="528"/>
    </row>
    <row r="91" spans="1:3" ht="14.25">
      <c r="A91" s="530" t="s">
        <v>182</v>
      </c>
      <c r="B91" s="528" t="s">
        <v>183</v>
      </c>
      <c r="C91" t="s">
        <v>740</v>
      </c>
    </row>
    <row r="92" spans="1:3" ht="14.25">
      <c r="A92" s="530" t="s">
        <v>184</v>
      </c>
      <c r="B92" s="528" t="s">
        <v>185</v>
      </c>
      <c r="C92" t="s">
        <v>757</v>
      </c>
    </row>
    <row r="93" spans="1:3" ht="14.25">
      <c r="A93" s="530"/>
      <c r="B93" s="528" t="s">
        <v>186</v>
      </c>
      <c r="C93" t="s">
        <v>574</v>
      </c>
    </row>
    <row r="94" spans="1:3" ht="14.25">
      <c r="A94" s="530"/>
      <c r="B94" s="528" t="s">
        <v>187</v>
      </c>
      <c r="C94" t="s">
        <v>575</v>
      </c>
    </row>
    <row r="95" spans="1:3" ht="14.25">
      <c r="A95" s="530"/>
      <c r="B95" s="528" t="s">
        <v>188</v>
      </c>
      <c r="C95" t="s">
        <v>576</v>
      </c>
    </row>
    <row r="96" spans="1:3" ht="14.25">
      <c r="A96" s="530"/>
      <c r="B96" s="528" t="s">
        <v>189</v>
      </c>
      <c r="C96" t="s">
        <v>577</v>
      </c>
    </row>
    <row r="97" spans="1:3" ht="14.25">
      <c r="A97" s="530" t="s">
        <v>190</v>
      </c>
      <c r="B97" s="528" t="s">
        <v>191</v>
      </c>
      <c r="C97" t="s">
        <v>748</v>
      </c>
    </row>
    <row r="98" spans="1:3" ht="14.25">
      <c r="A98" s="530"/>
      <c r="B98" s="528" t="s">
        <v>192</v>
      </c>
      <c r="C98" t="s">
        <v>730</v>
      </c>
    </row>
    <row r="99" spans="1:3" ht="14.25">
      <c r="A99" s="530"/>
      <c r="B99" s="528" t="s">
        <v>193</v>
      </c>
      <c r="C99" t="s">
        <v>578</v>
      </c>
    </row>
    <row r="100" spans="1:3" ht="14.25">
      <c r="A100" s="530"/>
      <c r="B100" s="528" t="s">
        <v>194</v>
      </c>
      <c r="C100" t="s">
        <v>579</v>
      </c>
    </row>
    <row r="101" spans="1:3" ht="14.25">
      <c r="A101" s="530" t="s">
        <v>195</v>
      </c>
      <c r="B101" s="528" t="s">
        <v>196</v>
      </c>
      <c r="C101" t="s">
        <v>717</v>
      </c>
    </row>
    <row r="102" spans="1:3" ht="14.25">
      <c r="A102" s="530" t="s">
        <v>197</v>
      </c>
      <c r="B102" s="528" t="s">
        <v>198</v>
      </c>
      <c r="C102" t="s">
        <v>736</v>
      </c>
    </row>
    <row r="103" spans="1:3" ht="14.25">
      <c r="A103" s="530"/>
      <c r="B103" s="528" t="s">
        <v>199</v>
      </c>
      <c r="C103" t="s">
        <v>580</v>
      </c>
    </row>
    <row r="104" spans="1:3" ht="14.25">
      <c r="A104" s="530"/>
      <c r="B104" s="528" t="s">
        <v>200</v>
      </c>
      <c r="C104" t="s">
        <v>581</v>
      </c>
    </row>
    <row r="105" spans="1:3" ht="14.25">
      <c r="A105" s="530"/>
      <c r="B105" s="528" t="s">
        <v>201</v>
      </c>
      <c r="C105" t="s">
        <v>582</v>
      </c>
    </row>
    <row r="106" spans="1:3" ht="14.25">
      <c r="A106" s="530"/>
      <c r="B106" s="528" t="s">
        <v>202</v>
      </c>
      <c r="C106" t="s">
        <v>583</v>
      </c>
    </row>
    <row r="107" spans="1:3" ht="14.25">
      <c r="A107" s="530"/>
      <c r="B107" s="528" t="s">
        <v>203</v>
      </c>
      <c r="C107" t="s">
        <v>550</v>
      </c>
    </row>
    <row r="108" spans="1:3" ht="14.25">
      <c r="A108" s="530"/>
      <c r="B108" s="528" t="s">
        <v>204</v>
      </c>
      <c r="C108" t="s">
        <v>584</v>
      </c>
    </row>
    <row r="109" spans="1:3" ht="14.25">
      <c r="A109" s="527"/>
      <c r="B109" s="528" t="s">
        <v>205</v>
      </c>
      <c r="C109" t="s">
        <v>585</v>
      </c>
    </row>
    <row r="110" spans="1:2" ht="14.25">
      <c r="A110" s="527" t="s">
        <v>586</v>
      </c>
      <c r="B110" s="528"/>
    </row>
    <row r="111" spans="1:3" ht="14.25">
      <c r="A111" s="530" t="s">
        <v>206</v>
      </c>
      <c r="B111" s="528" t="s">
        <v>587</v>
      </c>
      <c r="C111" t="s">
        <v>739</v>
      </c>
    </row>
    <row r="112" spans="1:3" ht="14.25">
      <c r="A112" s="530"/>
      <c r="B112" s="528" t="s">
        <v>207</v>
      </c>
      <c r="C112" t="s">
        <v>588</v>
      </c>
    </row>
    <row r="113" spans="1:3" ht="14.25">
      <c r="A113" s="530"/>
      <c r="B113" s="528" t="s">
        <v>208</v>
      </c>
      <c r="C113" t="s">
        <v>589</v>
      </c>
    </row>
    <row r="114" spans="1:3" ht="14.25">
      <c r="A114" s="530" t="s">
        <v>209</v>
      </c>
      <c r="B114" s="528" t="s">
        <v>210</v>
      </c>
      <c r="C114" t="s">
        <v>716</v>
      </c>
    </row>
    <row r="115" spans="1:2" ht="14.25">
      <c r="A115" s="527" t="s">
        <v>590</v>
      </c>
      <c r="B115" s="528"/>
    </row>
    <row r="116" spans="1:3" ht="14.25">
      <c r="A116" s="530" t="s">
        <v>211</v>
      </c>
      <c r="B116" s="528" t="s">
        <v>212</v>
      </c>
      <c r="C116" t="s">
        <v>755</v>
      </c>
    </row>
    <row r="117" spans="1:3" ht="14.25">
      <c r="A117" s="530" t="s">
        <v>213</v>
      </c>
      <c r="B117" s="528" t="s">
        <v>214</v>
      </c>
      <c r="C117" t="s">
        <v>54</v>
      </c>
    </row>
    <row r="118" spans="1:3" ht="14.25">
      <c r="A118" s="530" t="s">
        <v>215</v>
      </c>
      <c r="B118" s="528" t="s">
        <v>216</v>
      </c>
      <c r="C118" t="s">
        <v>742</v>
      </c>
    </row>
    <row r="119" spans="1:3" ht="14.25">
      <c r="A119" s="530" t="s">
        <v>217</v>
      </c>
      <c r="B119" s="528" t="s">
        <v>218</v>
      </c>
      <c r="C119" t="s">
        <v>750</v>
      </c>
    </row>
    <row r="120" spans="1:3" ht="14.25">
      <c r="A120" s="530" t="s">
        <v>219</v>
      </c>
      <c r="B120" s="528" t="s">
        <v>220</v>
      </c>
      <c r="C120" t="s">
        <v>754</v>
      </c>
    </row>
    <row r="121" spans="1:3" ht="14.25">
      <c r="A121" s="530" t="s">
        <v>221</v>
      </c>
      <c r="B121" s="528" t="s">
        <v>222</v>
      </c>
      <c r="C121" t="s">
        <v>756</v>
      </c>
    </row>
    <row r="122" spans="1:3" ht="14.25">
      <c r="A122" s="530" t="s">
        <v>223</v>
      </c>
      <c r="B122" s="528" t="s">
        <v>224</v>
      </c>
      <c r="C122" t="s">
        <v>55</v>
      </c>
    </row>
    <row r="123" spans="1:3" ht="14.25">
      <c r="A123" s="530" t="s">
        <v>225</v>
      </c>
      <c r="B123" s="528" t="s">
        <v>226</v>
      </c>
      <c r="C123" t="s">
        <v>749</v>
      </c>
    </row>
    <row r="124" spans="1:3" ht="14.25">
      <c r="A124" s="530" t="s">
        <v>227</v>
      </c>
      <c r="B124" s="528" t="s">
        <v>228</v>
      </c>
      <c r="C124" t="s">
        <v>715</v>
      </c>
    </row>
    <row r="125" spans="1:3" ht="14.25">
      <c r="A125" s="530" t="s">
        <v>229</v>
      </c>
      <c r="B125" s="528" t="s">
        <v>230</v>
      </c>
      <c r="C125" t="s">
        <v>718</v>
      </c>
    </row>
    <row r="126" spans="1:3" ht="14.25">
      <c r="A126" s="530" t="s">
        <v>231</v>
      </c>
      <c r="B126" s="528" t="s">
        <v>232</v>
      </c>
      <c r="C126" t="s">
        <v>751</v>
      </c>
    </row>
    <row r="127" spans="1:3" ht="14.25">
      <c r="A127" s="530" t="s">
        <v>233</v>
      </c>
      <c r="B127" s="528" t="s">
        <v>234</v>
      </c>
      <c r="C127" t="s">
        <v>741</v>
      </c>
    </row>
    <row r="128" spans="1:2" ht="14.25">
      <c r="A128" s="531"/>
      <c r="B128" s="532"/>
    </row>
    <row r="129" ht="14.25">
      <c r="B129" s="533"/>
    </row>
    <row r="130" ht="14.25">
      <c r="B130" s="533"/>
    </row>
    <row r="131" ht="14.25">
      <c r="B131" s="533"/>
    </row>
    <row r="132" ht="14.25">
      <c r="B132" s="534"/>
    </row>
    <row r="133" ht="14.25">
      <c r="B133" s="534"/>
    </row>
    <row r="134" ht="14.25">
      <c r="B134" s="534"/>
    </row>
    <row r="135" ht="14.25">
      <c r="B135" s="534"/>
    </row>
    <row r="136" ht="14.25">
      <c r="B136" s="534"/>
    </row>
    <row r="137" ht="14.25">
      <c r="B137" s="534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3"/>
  <dimension ref="A1:N36"/>
  <sheetViews>
    <sheetView workbookViewId="0" topLeftCell="A1">
      <selection activeCell="D2" sqref="D2"/>
    </sheetView>
  </sheetViews>
  <sheetFormatPr defaultColWidth="9.00390625" defaultRowHeight="14.25"/>
  <cols>
    <col min="1" max="1" width="1.625" style="2" customWidth="1"/>
    <col min="2" max="2" width="4.75390625" style="2" bestFit="1" customWidth="1"/>
    <col min="3" max="6" width="13.875" style="2" customWidth="1"/>
    <col min="7" max="7" width="0.6171875" style="2" customWidth="1"/>
    <col min="8" max="11" width="13.875" style="2" customWidth="1"/>
    <col min="12" max="12" width="1.37890625" style="2" customWidth="1"/>
    <col min="13" max="16384" width="9.00390625" style="2" customWidth="1"/>
  </cols>
  <sheetData>
    <row r="1" spans="1:14" ht="28.5" customHeight="1">
      <c r="A1" s="11"/>
      <c r="B1" s="739" t="s">
        <v>1043</v>
      </c>
      <c r="C1" s="739"/>
      <c r="D1" s="739"/>
      <c r="E1" s="739"/>
      <c r="F1" s="739"/>
      <c r="G1" s="739"/>
      <c r="H1" s="739"/>
      <c r="I1" s="739"/>
      <c r="J1" s="739"/>
      <c r="K1" s="739"/>
      <c r="L1" s="11"/>
      <c r="M1" s="11"/>
      <c r="N1" s="11"/>
    </row>
    <row r="2" spans="1:14" ht="22.5">
      <c r="A2" s="11"/>
      <c r="B2" s="758" t="s">
        <v>419</v>
      </c>
      <c r="C2" s="739"/>
      <c r="D2" s="739"/>
      <c r="E2" s="739"/>
      <c r="F2" s="739"/>
      <c r="G2" s="739"/>
      <c r="H2" s="739"/>
      <c r="I2" s="739"/>
      <c r="J2" s="739"/>
      <c r="K2" s="739"/>
      <c r="L2" s="11"/>
      <c r="M2" s="11"/>
      <c r="N2" s="11"/>
    </row>
    <row r="3" spans="1:14" ht="12.75" thickBot="1">
      <c r="A3" s="11"/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11"/>
      <c r="M3" s="11"/>
      <c r="N3" s="11"/>
    </row>
    <row r="4" spans="1:14" s="408" customFormat="1" ht="18.75" customHeight="1">
      <c r="A4" s="407"/>
      <c r="B4" s="989" t="s">
        <v>1</v>
      </c>
      <c r="C4" s="741" t="s">
        <v>2</v>
      </c>
      <c r="D4" s="742"/>
      <c r="E4" s="742"/>
      <c r="F4" s="742"/>
      <c r="G4" s="762"/>
      <c r="H4" s="760" t="s">
        <v>3</v>
      </c>
      <c r="I4" s="743"/>
      <c r="J4" s="743"/>
      <c r="K4" s="744"/>
      <c r="L4" s="407"/>
      <c r="M4" s="407"/>
      <c r="N4" s="407"/>
    </row>
    <row r="5" spans="1:14" s="408" customFormat="1" ht="22.5" customHeight="1">
      <c r="A5" s="407"/>
      <c r="B5" s="990"/>
      <c r="C5" s="764" t="s">
        <v>418</v>
      </c>
      <c r="D5" s="765" t="s">
        <v>4</v>
      </c>
      <c r="E5" s="765" t="s">
        <v>5</v>
      </c>
      <c r="F5" s="766" t="s">
        <v>417</v>
      </c>
      <c r="G5" s="762"/>
      <c r="H5" s="777" t="s">
        <v>418</v>
      </c>
      <c r="I5" s="778" t="s">
        <v>6</v>
      </c>
      <c r="J5" s="778" t="s">
        <v>7</v>
      </c>
      <c r="K5" s="779" t="s">
        <v>417</v>
      </c>
      <c r="L5" s="407"/>
      <c r="M5" s="407"/>
      <c r="N5" s="407"/>
    </row>
    <row r="6" spans="1:14" ht="3.75" customHeight="1">
      <c r="A6" s="11"/>
      <c r="B6" s="768"/>
      <c r="C6" s="768"/>
      <c r="D6" s="768"/>
      <c r="E6" s="768"/>
      <c r="F6" s="768"/>
      <c r="G6" s="745"/>
      <c r="H6" s="768"/>
      <c r="I6" s="768"/>
      <c r="J6" s="768"/>
      <c r="K6" s="768"/>
      <c r="L6" s="11"/>
      <c r="M6" s="11"/>
      <c r="N6" s="11"/>
    </row>
    <row r="7" spans="1:14" ht="18" customHeight="1">
      <c r="A7" s="11"/>
      <c r="B7" s="767">
        <v>1</v>
      </c>
      <c r="C7" s="792">
        <f>'记账凭证汇总'!D9</f>
        <v>2089139.99999999</v>
      </c>
      <c r="D7" s="793">
        <f>'记账凭证汇总'!E9</f>
        <v>200</v>
      </c>
      <c r="E7" s="793">
        <f>'记账凭证汇总'!F9</f>
        <v>200</v>
      </c>
      <c r="F7" s="794">
        <f>'记账凭证汇总'!G9</f>
        <v>2089139.99999999</v>
      </c>
      <c r="G7" s="763"/>
      <c r="H7" s="795">
        <f>'记账凭证汇总'!D10</f>
        <v>3643740.22</v>
      </c>
      <c r="I7" s="793">
        <f>'记账凭证汇总'!E10</f>
        <v>0</v>
      </c>
      <c r="J7" s="793">
        <f>'记账凭证汇总'!F10</f>
        <v>0</v>
      </c>
      <c r="K7" s="796">
        <f>'记账凭证汇总'!G10</f>
        <v>3643740.22</v>
      </c>
      <c r="L7" s="11"/>
      <c r="M7" s="11"/>
      <c r="N7" s="11"/>
    </row>
    <row r="8" spans="1:14" ht="18" customHeight="1">
      <c r="A8" s="11"/>
      <c r="B8" s="746">
        <v>2</v>
      </c>
      <c r="C8" s="747">
        <f>'记账凭证汇总'!G9</f>
        <v>2089139.99999999</v>
      </c>
      <c r="D8" s="748">
        <f>'记账凭证汇总'!I9</f>
        <v>0</v>
      </c>
      <c r="E8" s="748">
        <f>'记账凭证汇总'!J9</f>
        <v>0</v>
      </c>
      <c r="F8" s="759">
        <f>'记账凭证汇总'!K9</f>
        <v>2089139.99999999</v>
      </c>
      <c r="G8" s="763"/>
      <c r="H8" s="761">
        <f>'记账凭证汇总'!G10</f>
        <v>3643740.22</v>
      </c>
      <c r="I8" s="748">
        <f>'记账凭证汇总'!I10</f>
        <v>0</v>
      </c>
      <c r="J8" s="748">
        <f>'记账凭证汇总'!J10</f>
        <v>0</v>
      </c>
      <c r="K8" s="749">
        <f>'记账凭证汇总'!K10</f>
        <v>3643740.22</v>
      </c>
      <c r="L8" s="11"/>
      <c r="M8" s="11"/>
      <c r="N8" s="11"/>
    </row>
    <row r="9" spans="1:14" ht="18" customHeight="1">
      <c r="A9" s="11"/>
      <c r="B9" s="746">
        <v>3</v>
      </c>
      <c r="C9" s="747">
        <f>'记账凭证汇总'!K9</f>
        <v>2089139.99999999</v>
      </c>
      <c r="D9" s="748">
        <f>'记账凭证汇总'!M9</f>
        <v>0</v>
      </c>
      <c r="E9" s="748">
        <f>'记账凭证汇总'!N9</f>
        <v>0</v>
      </c>
      <c r="F9" s="759">
        <f>'记账凭证汇总'!O9</f>
        <v>2089139.99999999</v>
      </c>
      <c r="G9" s="763"/>
      <c r="H9" s="761">
        <f>'记账凭证汇总'!K10</f>
        <v>3643740.22</v>
      </c>
      <c r="I9" s="748">
        <f>'记账凭证汇总'!M10</f>
        <v>0</v>
      </c>
      <c r="J9" s="748">
        <f>'记账凭证汇总'!N10</f>
        <v>0</v>
      </c>
      <c r="K9" s="749">
        <f>'记账凭证汇总'!O10</f>
        <v>3643740.22</v>
      </c>
      <c r="L9" s="11"/>
      <c r="M9" s="11"/>
      <c r="N9" s="11"/>
    </row>
    <row r="10" spans="1:14" ht="18" customHeight="1">
      <c r="A10" s="11"/>
      <c r="B10" s="746">
        <v>4</v>
      </c>
      <c r="C10" s="747">
        <f>'记账凭证汇总'!O9</f>
        <v>2089139.99999999</v>
      </c>
      <c r="D10" s="748">
        <f>'记账凭证汇总'!Q9</f>
        <v>0</v>
      </c>
      <c r="E10" s="748">
        <f>'记账凭证汇总'!R9</f>
        <v>0</v>
      </c>
      <c r="F10" s="759">
        <f>'记账凭证汇总'!S9</f>
        <v>2089139.99999999</v>
      </c>
      <c r="G10" s="763"/>
      <c r="H10" s="761">
        <f>'记账凭证汇总'!O10</f>
        <v>3643740.22</v>
      </c>
      <c r="I10" s="748">
        <f>'记账凭证汇总'!Q10</f>
        <v>0</v>
      </c>
      <c r="J10" s="748">
        <f>'记账凭证汇总'!R10</f>
        <v>0</v>
      </c>
      <c r="K10" s="749">
        <f>'记账凭证汇总'!S10</f>
        <v>3643740.22</v>
      </c>
      <c r="L10" s="11"/>
      <c r="M10" s="11"/>
      <c r="N10" s="11"/>
    </row>
    <row r="11" spans="1:14" ht="18" customHeight="1">
      <c r="A11" s="11"/>
      <c r="B11" s="746">
        <v>5</v>
      </c>
      <c r="C11" s="747">
        <f>'记账凭证汇总'!S9</f>
        <v>2089139.99999999</v>
      </c>
      <c r="D11" s="748">
        <f>'记账凭证汇总'!U9</f>
        <v>0</v>
      </c>
      <c r="E11" s="748">
        <f>'记账凭证汇总'!V9</f>
        <v>0</v>
      </c>
      <c r="F11" s="759">
        <f>'记账凭证汇总'!W9</f>
        <v>2089139.99999999</v>
      </c>
      <c r="G11" s="763"/>
      <c r="H11" s="761">
        <f>'记账凭证汇总'!S10</f>
        <v>3643740.22</v>
      </c>
      <c r="I11" s="748">
        <f>'记账凭证汇总'!U10</f>
        <v>0</v>
      </c>
      <c r="J11" s="748">
        <f>'记账凭证汇总'!V10</f>
        <v>0</v>
      </c>
      <c r="K11" s="749">
        <f>'记账凭证汇总'!W10</f>
        <v>3643740.22</v>
      </c>
      <c r="L11" s="11"/>
      <c r="M11" s="11"/>
      <c r="N11" s="11"/>
    </row>
    <row r="12" spans="1:14" ht="18" customHeight="1">
      <c r="A12" s="11"/>
      <c r="B12" s="746">
        <v>6</v>
      </c>
      <c r="C12" s="747">
        <f>'记账凭证汇总'!W9</f>
        <v>2089139.99999999</v>
      </c>
      <c r="D12" s="748">
        <f>'记账凭证汇总'!Y9</f>
        <v>0</v>
      </c>
      <c r="E12" s="748">
        <f>'记账凭证汇总'!Z9</f>
        <v>0</v>
      </c>
      <c r="F12" s="759">
        <f>'记账凭证汇总'!AA9</f>
        <v>2089139.99999999</v>
      </c>
      <c r="G12" s="763"/>
      <c r="H12" s="761">
        <f>'记账凭证汇总'!W10</f>
        <v>3643740.22</v>
      </c>
      <c r="I12" s="748">
        <f>'记账凭证汇总'!Y10</f>
        <v>0</v>
      </c>
      <c r="J12" s="748">
        <f>'记账凭证汇总'!Z10</f>
        <v>0</v>
      </c>
      <c r="K12" s="749">
        <f>'记账凭证汇总'!AA10</f>
        <v>3643740.22</v>
      </c>
      <c r="L12" s="11"/>
      <c r="M12" s="11"/>
      <c r="N12" s="11"/>
    </row>
    <row r="13" spans="1:14" ht="18" customHeight="1">
      <c r="A13" s="11"/>
      <c r="B13" s="746">
        <v>7</v>
      </c>
      <c r="C13" s="747">
        <f>'记账凭证汇总'!AA9</f>
        <v>2089139.99999999</v>
      </c>
      <c r="D13" s="748">
        <f>'记账凭证汇总'!AC9</f>
        <v>0</v>
      </c>
      <c r="E13" s="748">
        <f>'记账凭证汇总'!AD9</f>
        <v>0</v>
      </c>
      <c r="F13" s="759">
        <f>'记账凭证汇总'!AE9</f>
        <v>2089139.99999999</v>
      </c>
      <c r="G13" s="763"/>
      <c r="H13" s="761">
        <f>'记账凭证汇总'!AA10</f>
        <v>3643740.22</v>
      </c>
      <c r="I13" s="748">
        <f>'记账凭证汇总'!AC10</f>
        <v>0</v>
      </c>
      <c r="J13" s="748">
        <f>'记账凭证汇总'!AD10</f>
        <v>0</v>
      </c>
      <c r="K13" s="749">
        <f>'记账凭证汇总'!AE10</f>
        <v>3643740.22</v>
      </c>
      <c r="L13" s="11"/>
      <c r="M13" s="11"/>
      <c r="N13" s="11"/>
    </row>
    <row r="14" spans="1:14" ht="18" customHeight="1">
      <c r="A14" s="11"/>
      <c r="B14" s="746">
        <v>8</v>
      </c>
      <c r="C14" s="747">
        <f>'记账凭证汇总'!AE9</f>
        <v>2089139.99999999</v>
      </c>
      <c r="D14" s="748">
        <f>'记账凭证汇总'!AG9</f>
        <v>0</v>
      </c>
      <c r="E14" s="748">
        <f>'记账凭证汇总'!AH9</f>
        <v>0</v>
      </c>
      <c r="F14" s="759">
        <f>'记账凭证汇总'!AI9</f>
        <v>2089139.99999999</v>
      </c>
      <c r="G14" s="763"/>
      <c r="H14" s="761">
        <f>'记账凭证汇总'!AE10</f>
        <v>3643740.22</v>
      </c>
      <c r="I14" s="748">
        <f>'记账凭证汇总'!AG10</f>
        <v>0</v>
      </c>
      <c r="J14" s="748">
        <f>'记账凭证汇总'!AH10</f>
        <v>0</v>
      </c>
      <c r="K14" s="749">
        <f>'记账凭证汇总'!AI10</f>
        <v>3643740.22</v>
      </c>
      <c r="L14" s="11"/>
      <c r="M14" s="11"/>
      <c r="N14" s="11"/>
    </row>
    <row r="15" spans="1:14" ht="18" customHeight="1">
      <c r="A15" s="11"/>
      <c r="B15" s="746">
        <v>9</v>
      </c>
      <c r="C15" s="747">
        <f>'记账凭证汇总'!AI9</f>
        <v>2089139.99999999</v>
      </c>
      <c r="D15" s="748">
        <f>'记账凭证汇总'!AK9</f>
        <v>0</v>
      </c>
      <c r="E15" s="748">
        <f>'记账凭证汇总'!AL9</f>
        <v>0</v>
      </c>
      <c r="F15" s="759">
        <f>'记账凭证汇总'!AM9</f>
        <v>2089139.99999999</v>
      </c>
      <c r="G15" s="763"/>
      <c r="H15" s="761">
        <f>'记账凭证汇总'!AI10</f>
        <v>3643740.22</v>
      </c>
      <c r="I15" s="748">
        <f>'记账凭证汇总'!AK10</f>
        <v>0</v>
      </c>
      <c r="J15" s="748">
        <f>'记账凭证汇总'!AL10</f>
        <v>0</v>
      </c>
      <c r="K15" s="749">
        <f>'记账凭证汇总'!AM10</f>
        <v>3643740.22</v>
      </c>
      <c r="L15" s="11"/>
      <c r="M15" s="11"/>
      <c r="N15" s="11"/>
    </row>
    <row r="16" spans="1:14" ht="18" customHeight="1">
      <c r="A16" s="11"/>
      <c r="B16" s="746">
        <v>10</v>
      </c>
      <c r="C16" s="747">
        <f>'记账凭证汇总'!AM9</f>
        <v>2089139.99999999</v>
      </c>
      <c r="D16" s="748">
        <f>'记账凭证汇总'!AO9</f>
        <v>0</v>
      </c>
      <c r="E16" s="748">
        <f>'记账凭证汇总'!AP9</f>
        <v>0</v>
      </c>
      <c r="F16" s="759">
        <f>'记账凭证汇总'!AQ9</f>
        <v>2089139.99999999</v>
      </c>
      <c r="G16" s="763"/>
      <c r="H16" s="761">
        <f>'记账凭证汇总'!AM10</f>
        <v>3643740.22</v>
      </c>
      <c r="I16" s="748">
        <f>'记账凭证汇总'!AO10</f>
        <v>0</v>
      </c>
      <c r="J16" s="748">
        <f>'记账凭证汇总'!AP10</f>
        <v>0</v>
      </c>
      <c r="K16" s="749">
        <f>'记账凭证汇总'!AQ10</f>
        <v>3643740.22</v>
      </c>
      <c r="L16" s="11"/>
      <c r="M16" s="11"/>
      <c r="N16" s="11"/>
    </row>
    <row r="17" spans="1:14" ht="18" customHeight="1">
      <c r="A17" s="11"/>
      <c r="B17" s="746">
        <v>11</v>
      </c>
      <c r="C17" s="747">
        <f>'记账凭证汇总'!AQ9</f>
        <v>2089139.99999999</v>
      </c>
      <c r="D17" s="748">
        <f>'记账凭证汇总'!AS9</f>
        <v>0</v>
      </c>
      <c r="E17" s="748">
        <f>'记账凭证汇总'!AT9</f>
        <v>0</v>
      </c>
      <c r="F17" s="759">
        <f>'记账凭证汇总'!AU9</f>
        <v>2089139.99999999</v>
      </c>
      <c r="G17" s="763"/>
      <c r="H17" s="761">
        <f>'记账凭证汇总'!AQ10</f>
        <v>3643740.22</v>
      </c>
      <c r="I17" s="748">
        <f>'记账凭证汇总'!AS10</f>
        <v>0</v>
      </c>
      <c r="J17" s="748">
        <f>'记账凭证汇总'!AT10</f>
        <v>0</v>
      </c>
      <c r="K17" s="749">
        <f>'记账凭证汇总'!AU10</f>
        <v>3643740.22</v>
      </c>
      <c r="L17" s="11"/>
      <c r="M17" s="11"/>
      <c r="N17" s="11"/>
    </row>
    <row r="18" spans="1:14" ht="18" customHeight="1">
      <c r="A18" s="11"/>
      <c r="B18" s="769">
        <v>12</v>
      </c>
      <c r="C18" s="770">
        <f>'记账凭证汇总'!AU9</f>
        <v>2089139.99999999</v>
      </c>
      <c r="D18" s="771">
        <f>'记账凭证汇总'!AW9</f>
        <v>0</v>
      </c>
      <c r="E18" s="771">
        <f>'记账凭证汇总'!AX9</f>
        <v>0</v>
      </c>
      <c r="F18" s="772">
        <f>'记账凭证汇总'!AY9</f>
        <v>2089139.99999999</v>
      </c>
      <c r="G18" s="763"/>
      <c r="H18" s="775">
        <f>'记账凭证汇总'!AU10</f>
        <v>3643740.22</v>
      </c>
      <c r="I18" s="771">
        <f>'记账凭证汇总'!AW10</f>
        <v>0</v>
      </c>
      <c r="J18" s="771">
        <f>'记账凭证汇总'!AX10</f>
        <v>0</v>
      </c>
      <c r="K18" s="776">
        <f>'记账凭证汇总'!AY10</f>
        <v>3643740.22</v>
      </c>
      <c r="L18" s="11"/>
      <c r="M18" s="11"/>
      <c r="N18" s="11"/>
    </row>
    <row r="19" spans="1:14" ht="3.75" customHeight="1">
      <c r="A19" s="11"/>
      <c r="B19" s="774"/>
      <c r="C19" s="768"/>
      <c r="D19" s="768"/>
      <c r="E19" s="768"/>
      <c r="F19" s="768"/>
      <c r="G19" s="745"/>
      <c r="H19" s="768"/>
      <c r="I19" s="768"/>
      <c r="J19" s="768"/>
      <c r="K19" s="768"/>
      <c r="L19" s="11"/>
      <c r="M19" s="11"/>
      <c r="N19" s="11"/>
    </row>
    <row r="20" spans="2:11" s="11" customFormat="1" ht="3.75" customHeight="1">
      <c r="B20" s="773"/>
      <c r="C20" s="750"/>
      <c r="D20" s="750"/>
      <c r="E20" s="750"/>
      <c r="F20" s="750"/>
      <c r="G20" s="750"/>
      <c r="H20" s="750"/>
      <c r="I20" s="750"/>
      <c r="J20" s="750"/>
      <c r="K20" s="750"/>
    </row>
    <row r="21" spans="1:14" ht="21" customHeight="1" thickBot="1">
      <c r="A21" s="11"/>
      <c r="B21" s="751" t="s">
        <v>8</v>
      </c>
      <c r="C21" s="752">
        <f>C7</f>
        <v>2089139.99999999</v>
      </c>
      <c r="D21" s="753">
        <f>SUM(D7:D19)</f>
        <v>200</v>
      </c>
      <c r="E21" s="753">
        <f>SUM(E7:E19)</f>
        <v>200</v>
      </c>
      <c r="F21" s="780">
        <f>C7+D21-E21</f>
        <v>2089139.99999999</v>
      </c>
      <c r="G21" s="782"/>
      <c r="H21" s="781">
        <f>H7</f>
        <v>3643740.22</v>
      </c>
      <c r="I21" s="753">
        <f>SUM(I7:I19)</f>
        <v>0</v>
      </c>
      <c r="J21" s="753">
        <f>SUM(J7:J19)</f>
        <v>0</v>
      </c>
      <c r="K21" s="754">
        <f>H7+I21-J21</f>
        <v>3643740.22</v>
      </c>
      <c r="L21" s="11"/>
      <c r="M21" s="11"/>
      <c r="N21" s="11"/>
    </row>
    <row r="22" spans="1:14" ht="6.75" customHeight="1">
      <c r="A22" s="11"/>
      <c r="B22" s="740"/>
      <c r="C22" s="740"/>
      <c r="D22" s="740"/>
      <c r="E22" s="740"/>
      <c r="F22" s="740"/>
      <c r="G22" s="740"/>
      <c r="H22" s="740"/>
      <c r="I22" s="740"/>
      <c r="J22" s="740"/>
      <c r="K22" s="740"/>
      <c r="L22" s="11"/>
      <c r="M22" s="11"/>
      <c r="N22" s="11"/>
    </row>
    <row r="23" spans="1:14" ht="18.75" customHeight="1">
      <c r="A23" s="11"/>
      <c r="B23" s="740"/>
      <c r="C23" s="755" t="s">
        <v>0</v>
      </c>
      <c r="D23" s="740"/>
      <c r="E23" s="740"/>
      <c r="F23" s="756"/>
      <c r="G23" s="740"/>
      <c r="H23" s="740"/>
      <c r="I23" s="740"/>
      <c r="J23" s="757" t="s">
        <v>11</v>
      </c>
      <c r="K23" s="740"/>
      <c r="L23" s="11"/>
      <c r="M23" s="11"/>
      <c r="N23" s="11"/>
    </row>
    <row r="24" spans="1:14" ht="8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">
      <c r="A25" s="11"/>
      <c r="B25" s="11"/>
      <c r="C25" s="11"/>
      <c r="D25" s="11"/>
      <c r="E25" s="984">
        <f ca="1">NOW()</f>
        <v>38825.56742395833</v>
      </c>
      <c r="F25" s="984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1"/>
      <c r="B26" s="11"/>
      <c r="C26" s="11"/>
      <c r="D26" s="11"/>
      <c r="E26" s="985" t="str">
        <f>CHOOSE(WEEKDAY(E25,2),"星期一","星期二","星期三","星期四","星期五","星期六","星期日")</f>
        <v>星期二</v>
      </c>
      <c r="F26" s="985"/>
      <c r="G26" s="11"/>
      <c r="H26" s="11"/>
      <c r="I26" s="11"/>
      <c r="J26" s="11"/>
      <c r="K26" s="11"/>
      <c r="L26" s="11"/>
      <c r="M26" s="11"/>
      <c r="N26" s="11"/>
    </row>
    <row r="27" spans="1:14" ht="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>
      <c r="A28" s="11"/>
      <c r="B28" s="11"/>
      <c r="C28" s="409"/>
      <c r="D28" s="406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">
      <c r="A29" s="11"/>
      <c r="B29" s="11"/>
      <c r="C29" s="409"/>
      <c r="D29" s="409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">
      <c r="A30" s="11"/>
      <c r="B30" s="11"/>
      <c r="C30" s="409"/>
      <c r="D30" s="409"/>
      <c r="E30" s="410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">
      <c r="A31" s="11"/>
      <c r="B31" s="11"/>
      <c r="C31" s="409"/>
      <c r="D31" s="409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">
      <c r="A32" s="11"/>
      <c r="B32" s="11"/>
      <c r="C32" s="411"/>
      <c r="D32" s="406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">
      <c r="A34" s="11"/>
      <c r="B34" s="11"/>
      <c r="C34" s="409"/>
      <c r="D34" s="409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3">
    <mergeCell ref="B4:B5"/>
    <mergeCell ref="E25:F25"/>
    <mergeCell ref="E26:F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F186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I15" sqref="I15"/>
    </sheetView>
  </sheetViews>
  <sheetFormatPr defaultColWidth="9.00390625" defaultRowHeight="14.25"/>
  <cols>
    <col min="1" max="1" width="6.75390625" style="14" customWidth="1"/>
    <col min="2" max="2" width="23.125" style="0" customWidth="1"/>
    <col min="3" max="3" width="2.75390625" style="0" customWidth="1"/>
    <col min="4" max="5" width="14.875" style="0" customWidth="1"/>
    <col min="6" max="7" width="14.125" style="0" customWidth="1"/>
    <col min="8" max="8" width="0.6171875" style="0" customWidth="1"/>
    <col min="9" max="11" width="14.125" style="0" customWidth="1"/>
    <col min="12" max="12" width="0.6171875" style="0" customWidth="1"/>
    <col min="13" max="15" width="14.125" style="0" customWidth="1"/>
    <col min="16" max="16" width="0.6171875" style="0" customWidth="1"/>
    <col min="17" max="19" width="14.125" style="0" customWidth="1"/>
    <col min="20" max="20" width="0.6171875" style="0" customWidth="1"/>
    <col min="21" max="23" width="14.125" style="0" customWidth="1"/>
    <col min="24" max="24" width="0.6171875" style="0" customWidth="1"/>
    <col min="25" max="27" width="14.125" style="0" customWidth="1"/>
    <col min="28" max="28" width="0.6171875" style="0" customWidth="1"/>
    <col min="29" max="31" width="14.125" style="0" customWidth="1"/>
    <col min="32" max="32" width="0.6171875" style="0" customWidth="1"/>
    <col min="33" max="35" width="14.125" style="0" customWidth="1"/>
    <col min="36" max="36" width="0.6171875" style="0" customWidth="1"/>
    <col min="37" max="39" width="14.125" style="0" customWidth="1"/>
    <col min="40" max="40" width="0.6171875" style="0" customWidth="1"/>
    <col min="41" max="43" width="14.125" style="0" customWidth="1"/>
    <col min="44" max="44" width="0.6171875" style="0" customWidth="1"/>
    <col min="45" max="47" width="14.125" style="0" customWidth="1"/>
    <col min="48" max="48" width="0.6171875" style="0" customWidth="1"/>
    <col min="49" max="51" width="14.125" style="0" customWidth="1"/>
    <col min="52" max="52" width="0.6171875" style="0" customWidth="1"/>
    <col min="53" max="55" width="14.125" style="0" customWidth="1"/>
  </cols>
  <sheetData>
    <row r="1" spans="1:55" ht="15.75">
      <c r="A1" s="783" t="s">
        <v>420</v>
      </c>
      <c r="B1" s="3"/>
      <c r="C1" s="3"/>
      <c r="D1" s="16">
        <v>11</v>
      </c>
      <c r="E1" s="16">
        <v>12</v>
      </c>
      <c r="F1" s="16">
        <v>13</v>
      </c>
      <c r="G1" s="17">
        <v>14</v>
      </c>
      <c r="H1" s="3"/>
      <c r="I1" s="16">
        <v>21</v>
      </c>
      <c r="J1" s="16">
        <v>22</v>
      </c>
      <c r="K1" s="16">
        <v>23</v>
      </c>
      <c r="L1" s="3"/>
      <c r="M1" s="16">
        <v>31</v>
      </c>
      <c r="N1" s="16">
        <v>32</v>
      </c>
      <c r="O1" s="16">
        <v>33</v>
      </c>
      <c r="P1" s="3"/>
      <c r="Q1" s="16">
        <v>41</v>
      </c>
      <c r="R1" s="16">
        <v>42</v>
      </c>
      <c r="S1" s="16">
        <v>43</v>
      </c>
      <c r="T1" s="3"/>
      <c r="U1" s="16">
        <v>51</v>
      </c>
      <c r="V1" s="16">
        <v>52</v>
      </c>
      <c r="W1" s="16">
        <v>53</v>
      </c>
      <c r="X1" s="3"/>
      <c r="Y1" s="16">
        <v>61</v>
      </c>
      <c r="Z1" s="18">
        <v>62</v>
      </c>
      <c r="AA1" s="18">
        <v>63</v>
      </c>
      <c r="AB1" s="3"/>
      <c r="AC1" s="18">
        <v>71</v>
      </c>
      <c r="AD1" s="18">
        <v>72</v>
      </c>
      <c r="AE1" s="18">
        <v>73</v>
      </c>
      <c r="AF1" s="3"/>
      <c r="AG1" s="16">
        <v>81</v>
      </c>
      <c r="AH1" s="16">
        <v>82</v>
      </c>
      <c r="AI1" s="16">
        <v>83</v>
      </c>
      <c r="AJ1" s="3"/>
      <c r="AK1" s="16">
        <v>91</v>
      </c>
      <c r="AL1" s="16">
        <v>92</v>
      </c>
      <c r="AM1" s="16">
        <v>93</v>
      </c>
      <c r="AN1" s="3"/>
      <c r="AO1" s="16">
        <v>101</v>
      </c>
      <c r="AP1" s="16">
        <v>102</v>
      </c>
      <c r="AQ1" s="16">
        <v>103</v>
      </c>
      <c r="AR1" s="3"/>
      <c r="AS1" s="16">
        <v>111</v>
      </c>
      <c r="AT1" s="16">
        <v>112</v>
      </c>
      <c r="AU1" s="16">
        <v>113</v>
      </c>
      <c r="AV1" s="3"/>
      <c r="AW1" s="16">
        <v>121</v>
      </c>
      <c r="AX1" s="16">
        <v>122</v>
      </c>
      <c r="AY1" s="16">
        <v>123</v>
      </c>
      <c r="AZ1" s="3"/>
      <c r="BA1" s="16">
        <v>131</v>
      </c>
      <c r="BB1" s="16">
        <v>132</v>
      </c>
      <c r="BC1" s="16">
        <v>133</v>
      </c>
    </row>
    <row r="2" spans="1:55" ht="14.25">
      <c r="A2" s="784">
        <f ca="1">NOW()</f>
        <v>38825.56742395833</v>
      </c>
      <c r="B2" s="4"/>
      <c r="C2" s="3"/>
      <c r="D2" s="3"/>
      <c r="E2" s="3"/>
      <c r="F2" s="3"/>
      <c r="G2" s="19"/>
      <c r="H2" s="3"/>
      <c r="I2" s="3"/>
      <c r="J2" s="3"/>
      <c r="K2" s="19"/>
      <c r="L2" s="3"/>
      <c r="M2" s="3"/>
      <c r="N2" s="3"/>
      <c r="O2" s="19"/>
      <c r="P2" s="3"/>
      <c r="Q2" s="3"/>
      <c r="R2" s="20"/>
      <c r="S2" s="19"/>
      <c r="T2" s="3"/>
      <c r="U2" s="3"/>
      <c r="V2" s="3"/>
      <c r="W2" s="19"/>
      <c r="X2" s="3"/>
      <c r="Y2" s="3"/>
      <c r="Z2" s="3"/>
      <c r="AA2" s="19"/>
      <c r="AB2" s="3"/>
      <c r="AC2" s="3"/>
      <c r="AD2" s="3"/>
      <c r="AE2" s="19"/>
      <c r="AF2" s="3"/>
      <c r="AG2" s="3"/>
      <c r="AH2" s="3"/>
      <c r="AI2" s="19"/>
      <c r="AJ2" s="3"/>
      <c r="AK2" s="3"/>
      <c r="AL2" s="3"/>
      <c r="AM2" s="19"/>
      <c r="AN2" s="3"/>
      <c r="AO2" s="3"/>
      <c r="AP2" s="3"/>
      <c r="AQ2" s="19"/>
      <c r="AR2" s="3"/>
      <c r="AS2" s="3"/>
      <c r="AT2" s="3"/>
      <c r="AU2" s="19"/>
      <c r="AV2" s="3"/>
      <c r="AW2" s="3"/>
      <c r="AX2" s="3"/>
      <c r="AY2" s="19"/>
      <c r="AZ2" s="3"/>
      <c r="BA2" s="3"/>
      <c r="BB2" s="3"/>
      <c r="BC2" s="3"/>
    </row>
    <row r="3" spans="1:55" ht="14.25">
      <c r="A3" s="785" t="str">
        <f>CHOOSE(WEEKDAY(A2,2),"星期一","星期二","星期三","星期四","星期五","星期六","星期日")</f>
        <v>星期二</v>
      </c>
      <c r="B3" s="4"/>
      <c r="C3" s="3"/>
      <c r="D3" s="3"/>
      <c r="E3" s="3"/>
      <c r="F3" s="3"/>
      <c r="G3" s="19"/>
      <c r="H3" s="3"/>
      <c r="I3" s="3"/>
      <c r="J3" s="3"/>
      <c r="K3" s="19"/>
      <c r="L3" s="3"/>
      <c r="M3" s="3"/>
      <c r="N3" s="3"/>
      <c r="O3" s="19"/>
      <c r="P3" s="3"/>
      <c r="Q3" s="3"/>
      <c r="R3" s="20"/>
      <c r="S3" s="19"/>
      <c r="T3" s="3"/>
      <c r="U3" s="3"/>
      <c r="V3" s="3"/>
      <c r="W3" s="19"/>
      <c r="X3" s="3"/>
      <c r="Y3" s="3"/>
      <c r="Z3" s="3"/>
      <c r="AA3" s="19"/>
      <c r="AB3" s="3"/>
      <c r="AC3" s="3"/>
      <c r="AD3" s="3"/>
      <c r="AE3" s="19"/>
      <c r="AF3" s="3"/>
      <c r="AG3" s="3"/>
      <c r="AH3" s="3"/>
      <c r="AI3" s="19"/>
      <c r="AJ3" s="3"/>
      <c r="AK3" s="3"/>
      <c r="AL3" s="3"/>
      <c r="AM3" s="19"/>
      <c r="AN3" s="3"/>
      <c r="AO3" s="3"/>
      <c r="AP3" s="3"/>
      <c r="AQ3" s="19"/>
      <c r="AR3" s="3"/>
      <c r="AS3" s="3"/>
      <c r="AT3" s="3"/>
      <c r="AU3" s="19"/>
      <c r="AV3" s="3"/>
      <c r="AW3" s="3"/>
      <c r="AX3" s="3"/>
      <c r="AY3" s="19"/>
      <c r="AZ3" s="3"/>
      <c r="BA3" s="3"/>
      <c r="BB3" s="3"/>
      <c r="BC3" s="3"/>
    </row>
    <row r="4" spans="1:55" ht="14.25">
      <c r="A4" s="788" t="str">
        <f>IF(AND(MONTH(A2)=1,DAY(A2)=1),"新年新气象！加油呀！",IF(AND(MONTH(A2)=3,DAY(A2)=8),"向女同胞们致敬！",IF(AND(MONTH(A2)=5,DAY(A2)=1),"劳动最光荣",IF(AND(MONTH(A2)=5,DAY(A2)=4),"青年是祖国的栋梁！",IF(AND(MONTH(A2)=6,DAY(A2)=1),"原天下所有的儿童永远快乐","祝您天天愉快! ")))))</f>
        <v>祝您天天愉快! </v>
      </c>
      <c r="B4" s="786"/>
      <c r="C4" s="3"/>
      <c r="D4" s="3"/>
      <c r="E4" s="3"/>
      <c r="F4" s="3"/>
      <c r="G4" s="19"/>
      <c r="H4" s="3"/>
      <c r="I4" s="913"/>
      <c r="J4" s="3"/>
      <c r="K4" s="19"/>
      <c r="L4" s="3"/>
      <c r="M4" s="3"/>
      <c r="N4" s="3"/>
      <c r="O4" s="19"/>
      <c r="P4" s="3"/>
      <c r="Q4" s="3"/>
      <c r="R4" s="20"/>
      <c r="S4" s="19"/>
      <c r="T4" s="3"/>
      <c r="U4" s="3"/>
      <c r="V4" s="3"/>
      <c r="W4" s="19"/>
      <c r="X4" s="3"/>
      <c r="Y4" s="3"/>
      <c r="Z4" s="3"/>
      <c r="AA4" s="19"/>
      <c r="AB4" s="3"/>
      <c r="AC4" s="3"/>
      <c r="AD4" s="3"/>
      <c r="AE4" s="19"/>
      <c r="AF4" s="3"/>
      <c r="AG4" s="3"/>
      <c r="AH4" s="3"/>
      <c r="AI4" s="19"/>
      <c r="AJ4" s="3"/>
      <c r="AK4" s="3"/>
      <c r="AL4" s="3"/>
      <c r="AM4" s="19"/>
      <c r="AN4" s="3"/>
      <c r="AO4" s="3"/>
      <c r="AP4" s="3"/>
      <c r="AQ4" s="19"/>
      <c r="AR4" s="3"/>
      <c r="AS4" s="3"/>
      <c r="AT4" s="3"/>
      <c r="AU4" s="19"/>
      <c r="AV4" s="3"/>
      <c r="AW4" s="3"/>
      <c r="AX4" s="3"/>
      <c r="AY4" s="19"/>
      <c r="AZ4" s="3"/>
      <c r="BA4" s="3"/>
      <c r="BB4" s="3"/>
      <c r="BC4" s="3"/>
    </row>
    <row r="5" spans="1:56" ht="14.25">
      <c r="A5" s="789" t="str">
        <f>IF(AND(MONTH(A2)=7,DAY(A2)=1),"党的恩情永不忘",IF(AND(MONTH(A2)=8,DAY(A2)=1),"提高警惕，保卫祖国！",IF(AND(MONTH(A2)=9,DAY(A2)=10),"老师，您辛苦了！",IF(AND(MONTH(A2)=10,DAY(A2)=1),"祝我们伟大的祖国繁荣富强","多干工作,少说话！ "))))</f>
        <v>多干工作,少说话！ </v>
      </c>
      <c r="B5" s="787"/>
      <c r="C5" s="3"/>
      <c r="D5" s="3"/>
      <c r="E5" s="3"/>
      <c r="F5" s="3"/>
      <c r="G5" s="19"/>
      <c r="H5" s="3"/>
      <c r="I5" s="913"/>
      <c r="J5" s="3"/>
      <c r="K5" s="19"/>
      <c r="L5" s="3"/>
      <c r="M5" s="3"/>
      <c r="N5" s="3"/>
      <c r="O5" s="19"/>
      <c r="P5" s="3"/>
      <c r="Q5" s="3"/>
      <c r="R5" s="20"/>
      <c r="S5" s="19"/>
      <c r="T5" s="3"/>
      <c r="U5" s="3"/>
      <c r="V5" s="3"/>
      <c r="W5" s="19"/>
      <c r="X5" s="3"/>
      <c r="Y5" s="3"/>
      <c r="Z5" s="3"/>
      <c r="AA5" s="19"/>
      <c r="AB5" s="3"/>
      <c r="AC5" s="3"/>
      <c r="AD5" s="3"/>
      <c r="AE5" s="19"/>
      <c r="AF5" s="3"/>
      <c r="AG5" s="3"/>
      <c r="AH5" s="3"/>
      <c r="AI5" s="19"/>
      <c r="AJ5" s="3"/>
      <c r="AK5" s="3"/>
      <c r="AL5" s="3"/>
      <c r="AM5" s="19"/>
      <c r="AN5" s="3"/>
      <c r="AO5" s="3"/>
      <c r="AP5" s="3"/>
      <c r="AQ5" s="19"/>
      <c r="AR5" s="3"/>
      <c r="AS5" s="3"/>
      <c r="AT5" s="3"/>
      <c r="AU5" s="19"/>
      <c r="AV5" s="3"/>
      <c r="AW5" s="3"/>
      <c r="AX5" s="3"/>
      <c r="AY5" s="19"/>
      <c r="AZ5" s="3"/>
      <c r="BA5" s="3"/>
      <c r="BB5" s="3"/>
      <c r="BC5" s="3"/>
      <c r="BD5" s="14"/>
    </row>
    <row r="6" spans="1:55" ht="15" thickBot="1">
      <c r="A6" s="15"/>
      <c r="B6" s="3"/>
      <c r="C6" s="3"/>
      <c r="D6" s="3"/>
      <c r="E6" s="3"/>
      <c r="F6" s="3"/>
      <c r="G6" s="21"/>
      <c r="H6" s="16"/>
      <c r="I6" s="3"/>
      <c r="J6" s="3"/>
      <c r="K6" s="21"/>
      <c r="L6" s="16"/>
      <c r="M6" s="3"/>
      <c r="N6" s="3"/>
      <c r="O6" s="21"/>
      <c r="P6" s="16"/>
      <c r="Q6" s="3"/>
      <c r="R6" s="3"/>
      <c r="S6" s="21"/>
      <c r="T6" s="16"/>
      <c r="U6" s="3"/>
      <c r="V6" s="3"/>
      <c r="W6" s="21"/>
      <c r="X6" s="16"/>
      <c r="Y6" s="3"/>
      <c r="Z6" s="3"/>
      <c r="AA6" s="21"/>
      <c r="AB6" s="16"/>
      <c r="AC6" s="3"/>
      <c r="AD6" s="3"/>
      <c r="AE6" s="21"/>
      <c r="AF6" s="16"/>
      <c r="AG6" s="3"/>
      <c r="AH6" s="3"/>
      <c r="AI6" s="21"/>
      <c r="AJ6" s="16"/>
      <c r="AK6" s="3"/>
      <c r="AL6" s="3"/>
      <c r="AM6" s="21"/>
      <c r="AN6" s="16"/>
      <c r="AO6" s="3"/>
      <c r="AP6" s="3"/>
      <c r="AQ6" s="21"/>
      <c r="AR6" s="16"/>
      <c r="AS6" s="3"/>
      <c r="AT6" s="3"/>
      <c r="AU6" s="21"/>
      <c r="AV6" s="16"/>
      <c r="AW6" s="3"/>
      <c r="AX6" s="3"/>
      <c r="AY6" s="21"/>
      <c r="AZ6" s="16"/>
      <c r="BA6" s="3"/>
      <c r="BB6" s="3"/>
      <c r="BC6" s="3"/>
    </row>
    <row r="7" spans="1:58" ht="15" thickTop="1">
      <c r="A7" s="22" t="s">
        <v>36</v>
      </c>
      <c r="B7" s="909" t="s">
        <v>37</v>
      </c>
      <c r="C7" s="911" t="s">
        <v>38</v>
      </c>
      <c r="D7" s="23" t="s">
        <v>39</v>
      </c>
      <c r="E7" s="24" t="s">
        <v>436</v>
      </c>
      <c r="F7" s="25"/>
      <c r="G7" s="25"/>
      <c r="H7" s="26"/>
      <c r="I7" s="25" t="s">
        <v>437</v>
      </c>
      <c r="J7" s="25"/>
      <c r="K7" s="27"/>
      <c r="L7" s="26"/>
      <c r="M7" s="28" t="s">
        <v>438</v>
      </c>
      <c r="N7" s="25"/>
      <c r="O7" s="27"/>
      <c r="P7" s="26"/>
      <c r="Q7" s="28" t="s">
        <v>439</v>
      </c>
      <c r="R7" s="25"/>
      <c r="S7" s="27"/>
      <c r="T7" s="26"/>
      <c r="U7" s="28" t="s">
        <v>440</v>
      </c>
      <c r="V7" s="25"/>
      <c r="W7" s="27"/>
      <c r="X7" s="26"/>
      <c r="Y7" s="28" t="s">
        <v>441</v>
      </c>
      <c r="Z7" s="25"/>
      <c r="AA7" s="27"/>
      <c r="AB7" s="26"/>
      <c r="AC7" s="28" t="s">
        <v>442</v>
      </c>
      <c r="AD7" s="25"/>
      <c r="AE7" s="27"/>
      <c r="AF7" s="26"/>
      <c r="AG7" s="28" t="s">
        <v>443</v>
      </c>
      <c r="AH7" s="25"/>
      <c r="AI7" s="27"/>
      <c r="AJ7" s="26"/>
      <c r="AK7" s="28" t="s">
        <v>444</v>
      </c>
      <c r="AL7" s="25"/>
      <c r="AM7" s="27"/>
      <c r="AN7" s="26"/>
      <c r="AO7" s="28" t="s">
        <v>445</v>
      </c>
      <c r="AP7" s="25"/>
      <c r="AQ7" s="27"/>
      <c r="AR7" s="26"/>
      <c r="AS7" s="28" t="s">
        <v>446</v>
      </c>
      <c r="AT7" s="25"/>
      <c r="AU7" s="27"/>
      <c r="AV7" s="26"/>
      <c r="AW7" s="29" t="s">
        <v>447</v>
      </c>
      <c r="AX7" s="30"/>
      <c r="AY7" s="31" t="s">
        <v>40</v>
      </c>
      <c r="AZ7" s="26"/>
      <c r="BA7" s="29" t="s">
        <v>448</v>
      </c>
      <c r="BB7" s="30"/>
      <c r="BC7" s="907" t="s">
        <v>40</v>
      </c>
      <c r="BD7" s="32"/>
      <c r="BE7" s="32"/>
      <c r="BF7" s="32"/>
    </row>
    <row r="8" spans="1:58" ht="15" thickBot="1">
      <c r="A8" s="33" t="s">
        <v>41</v>
      </c>
      <c r="B8" s="910"/>
      <c r="C8" s="912"/>
      <c r="D8" s="34" t="s">
        <v>42</v>
      </c>
      <c r="E8" s="35" t="s">
        <v>43</v>
      </c>
      <c r="F8" s="36" t="s">
        <v>44</v>
      </c>
      <c r="G8" s="37" t="s">
        <v>45</v>
      </c>
      <c r="H8" s="26"/>
      <c r="I8" s="38" t="s">
        <v>43</v>
      </c>
      <c r="J8" s="36" t="s">
        <v>44</v>
      </c>
      <c r="K8" s="37" t="s">
        <v>45</v>
      </c>
      <c r="L8" s="26"/>
      <c r="M8" s="38" t="s">
        <v>43</v>
      </c>
      <c r="N8" s="36" t="s">
        <v>44</v>
      </c>
      <c r="O8" s="37" t="s">
        <v>45</v>
      </c>
      <c r="P8" s="26"/>
      <c r="Q8" s="38" t="s">
        <v>43</v>
      </c>
      <c r="R8" s="36" t="s">
        <v>44</v>
      </c>
      <c r="S8" s="37" t="s">
        <v>45</v>
      </c>
      <c r="T8" s="26"/>
      <c r="U8" s="38" t="s">
        <v>43</v>
      </c>
      <c r="V8" s="36" t="s">
        <v>44</v>
      </c>
      <c r="W8" s="37" t="s">
        <v>45</v>
      </c>
      <c r="X8" s="26"/>
      <c r="Y8" s="38" t="s">
        <v>43</v>
      </c>
      <c r="Z8" s="36" t="s">
        <v>44</v>
      </c>
      <c r="AA8" s="37" t="s">
        <v>45</v>
      </c>
      <c r="AB8" s="26"/>
      <c r="AC8" s="38" t="s">
        <v>43</v>
      </c>
      <c r="AD8" s="36" t="s">
        <v>44</v>
      </c>
      <c r="AE8" s="37" t="s">
        <v>45</v>
      </c>
      <c r="AF8" s="26"/>
      <c r="AG8" s="38" t="s">
        <v>43</v>
      </c>
      <c r="AH8" s="36" t="s">
        <v>44</v>
      </c>
      <c r="AI8" s="37" t="s">
        <v>45</v>
      </c>
      <c r="AJ8" s="26"/>
      <c r="AK8" s="38" t="s">
        <v>43</v>
      </c>
      <c r="AL8" s="36" t="s">
        <v>44</v>
      </c>
      <c r="AM8" s="37" t="s">
        <v>45</v>
      </c>
      <c r="AN8" s="26"/>
      <c r="AO8" s="38" t="s">
        <v>43</v>
      </c>
      <c r="AP8" s="36" t="s">
        <v>44</v>
      </c>
      <c r="AQ8" s="37" t="s">
        <v>45</v>
      </c>
      <c r="AR8" s="26"/>
      <c r="AS8" s="38" t="s">
        <v>43</v>
      </c>
      <c r="AT8" s="36" t="s">
        <v>44</v>
      </c>
      <c r="AU8" s="37" t="s">
        <v>45</v>
      </c>
      <c r="AV8" s="26"/>
      <c r="AW8" s="38" t="s">
        <v>43</v>
      </c>
      <c r="AX8" s="36" t="s">
        <v>44</v>
      </c>
      <c r="AY8" s="39" t="s">
        <v>758</v>
      </c>
      <c r="AZ8" s="26"/>
      <c r="BA8" s="40" t="s">
        <v>43</v>
      </c>
      <c r="BB8" s="36" t="s">
        <v>44</v>
      </c>
      <c r="BC8" s="908" t="s">
        <v>758</v>
      </c>
      <c r="BD8" s="32"/>
      <c r="BE8" s="32"/>
      <c r="BF8" s="32"/>
    </row>
    <row r="9" spans="1:55" ht="15" thickTop="1">
      <c r="A9" s="536">
        <v>100100</v>
      </c>
      <c r="B9" s="675" t="s">
        <v>759</v>
      </c>
      <c r="C9" s="41"/>
      <c r="D9" s="42">
        <v>2089139.99999999</v>
      </c>
      <c r="E9" s="43">
        <v>200</v>
      </c>
      <c r="F9" s="43">
        <v>200</v>
      </c>
      <c r="G9" s="44">
        <f>D9+E9-F9</f>
        <v>2089139.99999999</v>
      </c>
      <c r="H9" s="32"/>
      <c r="I9" s="43"/>
      <c r="J9" s="43"/>
      <c r="K9" s="52">
        <f>G9+I9-J9</f>
        <v>2089139.99999999</v>
      </c>
      <c r="L9" s="32"/>
      <c r="M9" s="43"/>
      <c r="N9" s="43"/>
      <c r="O9" s="52">
        <f>K9+M9-N9</f>
        <v>2089139.99999999</v>
      </c>
      <c r="P9" s="32"/>
      <c r="Q9" s="43"/>
      <c r="R9" s="43"/>
      <c r="S9" s="52">
        <f>O9+Q9-R9</f>
        <v>2089139.99999999</v>
      </c>
      <c r="T9" s="32"/>
      <c r="U9" s="43"/>
      <c r="V9" s="43"/>
      <c r="W9" s="52">
        <f>S9+U9-V9</f>
        <v>2089139.99999999</v>
      </c>
      <c r="X9" s="32"/>
      <c r="Y9" s="43"/>
      <c r="Z9" s="43"/>
      <c r="AA9" s="52">
        <f>W9+Y9-Z9</f>
        <v>2089139.99999999</v>
      </c>
      <c r="AB9" s="32"/>
      <c r="AC9" s="43"/>
      <c r="AD9" s="43"/>
      <c r="AE9" s="52">
        <f>AA9+AC9-AD9</f>
        <v>2089139.99999999</v>
      </c>
      <c r="AF9" s="32"/>
      <c r="AG9" s="43"/>
      <c r="AH9" s="43"/>
      <c r="AI9" s="52">
        <f>AE9+AG9-AH9</f>
        <v>2089139.99999999</v>
      </c>
      <c r="AJ9" s="32"/>
      <c r="AK9" s="43"/>
      <c r="AL9" s="43"/>
      <c r="AM9" s="52">
        <f>AI9+AK9-AL9</f>
        <v>2089139.99999999</v>
      </c>
      <c r="AN9" s="32"/>
      <c r="AO9" s="43"/>
      <c r="AP9" s="43"/>
      <c r="AQ9" s="52">
        <f>AM9+AO9-AP9</f>
        <v>2089139.99999999</v>
      </c>
      <c r="AR9" s="32"/>
      <c r="AS9" s="43"/>
      <c r="AT9" s="43"/>
      <c r="AU9" s="52">
        <f>AQ9+AS9-AT9</f>
        <v>2089139.99999999</v>
      </c>
      <c r="AV9" s="32"/>
      <c r="AW9" s="43"/>
      <c r="AX9" s="43"/>
      <c r="AY9" s="52">
        <f>AU9+AW9-AX9</f>
        <v>2089139.99999999</v>
      </c>
      <c r="AZ9" s="32"/>
      <c r="BA9" s="46">
        <f aca="true" t="shared" si="0" ref="BA9:BA20">E9+I9+M9+Q9+U9+Y9+AC9+AG9+AK9+AO9+AS9+AW9</f>
        <v>200</v>
      </c>
      <c r="BB9" s="47">
        <f aca="true" t="shared" si="1" ref="BB9:BB20">F9+J9+N9+R9+V9+Z9+AD9+AH9+AL9+AP9+AT9+AX9</f>
        <v>200</v>
      </c>
      <c r="BC9" s="45">
        <f>D9+BA9-BB9</f>
        <v>2089139.99999999</v>
      </c>
    </row>
    <row r="10" spans="1:55" ht="14.25">
      <c r="A10" s="537" t="s">
        <v>815</v>
      </c>
      <c r="B10" s="551" t="s">
        <v>760</v>
      </c>
      <c r="C10" s="48"/>
      <c r="D10" s="49">
        <v>3643740.22</v>
      </c>
      <c r="E10" s="7"/>
      <c r="F10" s="7"/>
      <c r="G10" s="50">
        <f>D10+E10-F10</f>
        <v>3643740.22</v>
      </c>
      <c r="H10" s="51"/>
      <c r="I10" s="7"/>
      <c r="J10" s="7"/>
      <c r="K10" s="52">
        <f>G10+I10-J10</f>
        <v>3643740.22</v>
      </c>
      <c r="L10" s="51"/>
      <c r="M10" s="7"/>
      <c r="N10" s="7"/>
      <c r="O10" s="52">
        <f>K10+M10-N10</f>
        <v>3643740.22</v>
      </c>
      <c r="P10" s="51"/>
      <c r="Q10" s="7"/>
      <c r="R10" s="7"/>
      <c r="S10" s="52">
        <f>O10+Q10-R10</f>
        <v>3643740.22</v>
      </c>
      <c r="T10" s="51"/>
      <c r="U10" s="7"/>
      <c r="V10" s="7"/>
      <c r="W10" s="52">
        <f>S10+U10-V10</f>
        <v>3643740.22</v>
      </c>
      <c r="X10" s="51"/>
      <c r="Y10" s="7"/>
      <c r="Z10" s="7"/>
      <c r="AA10" s="52">
        <f>W10+Y10-Z10</f>
        <v>3643740.22</v>
      </c>
      <c r="AB10" s="51"/>
      <c r="AC10" s="7"/>
      <c r="AD10" s="7"/>
      <c r="AE10" s="52">
        <f>AA10+AC10-AD10</f>
        <v>3643740.22</v>
      </c>
      <c r="AF10" s="51"/>
      <c r="AG10" s="7"/>
      <c r="AH10" s="7"/>
      <c r="AI10" s="52">
        <f>AE10+AG10-AH10</f>
        <v>3643740.22</v>
      </c>
      <c r="AJ10" s="51"/>
      <c r="AK10" s="7"/>
      <c r="AL10" s="7"/>
      <c r="AM10" s="52">
        <f>AI10+AK10-AL10</f>
        <v>3643740.22</v>
      </c>
      <c r="AN10" s="51"/>
      <c r="AO10" s="7"/>
      <c r="AP10" s="7"/>
      <c r="AQ10" s="52">
        <f>AM10+AO10-AP10</f>
        <v>3643740.22</v>
      </c>
      <c r="AR10" s="51"/>
      <c r="AS10" s="7"/>
      <c r="AT10" s="7"/>
      <c r="AU10" s="52">
        <f>AQ10+AS10-AT10</f>
        <v>3643740.22</v>
      </c>
      <c r="AV10" s="51"/>
      <c r="AW10" s="7"/>
      <c r="AX10" s="7"/>
      <c r="AY10" s="52">
        <f>AU10+AW10-AX10</f>
        <v>3643740.22</v>
      </c>
      <c r="AZ10" s="51"/>
      <c r="BA10" s="53">
        <f t="shared" si="0"/>
        <v>0</v>
      </c>
      <c r="BB10" s="7">
        <f t="shared" si="1"/>
        <v>0</v>
      </c>
      <c r="BC10" s="52">
        <f>D10+BA10-BB10</f>
        <v>3643740.22</v>
      </c>
    </row>
    <row r="11" spans="1:55" ht="15">
      <c r="A11" s="543">
        <v>100900</v>
      </c>
      <c r="B11" s="676" t="s">
        <v>46</v>
      </c>
      <c r="C11" s="54"/>
      <c r="D11" s="61">
        <v>2506797.73</v>
      </c>
      <c r="E11" s="62">
        <f>SUM(E12:E17)</f>
        <v>0</v>
      </c>
      <c r="F11" s="62">
        <f>SUM(F12:F17)</f>
        <v>0</v>
      </c>
      <c r="G11" s="63">
        <f>SUM(G12:G17)</f>
        <v>2506797.73</v>
      </c>
      <c r="H11" s="51"/>
      <c r="I11" s="62">
        <f>SUM(I12:I17)</f>
        <v>0</v>
      </c>
      <c r="J11" s="62">
        <f>SUM(J12:J17)</f>
        <v>0</v>
      </c>
      <c r="K11" s="63">
        <f>SUM(K12:K17)</f>
        <v>2506797.73</v>
      </c>
      <c r="L11" s="51"/>
      <c r="M11" s="62">
        <f>SUM(M12:M17)</f>
        <v>0</v>
      </c>
      <c r="N11" s="62">
        <f>SUM(N12:N17)</f>
        <v>0</v>
      </c>
      <c r="O11" s="63">
        <f>SUM(O12:O17)</f>
        <v>2506797.73</v>
      </c>
      <c r="P11" s="51"/>
      <c r="Q11" s="62">
        <f>SUM(Q12:Q17)</f>
        <v>0</v>
      </c>
      <c r="R11" s="62">
        <f>SUM(R12:R17)</f>
        <v>0</v>
      </c>
      <c r="S11" s="63">
        <f>SUM(S12:S17)</f>
        <v>2506797.73</v>
      </c>
      <c r="T11" s="51"/>
      <c r="U11" s="62">
        <f>SUM(U12:U17)</f>
        <v>0</v>
      </c>
      <c r="V11" s="62">
        <f>SUM(V12:V17)</f>
        <v>0</v>
      </c>
      <c r="W11" s="63">
        <f>SUM(W12:W17)</f>
        <v>2506797.73</v>
      </c>
      <c r="X11" s="51"/>
      <c r="Y11" s="62">
        <f>SUM(Y12:Y17)</f>
        <v>0</v>
      </c>
      <c r="Z11" s="62">
        <f>SUM(Z12:Z17)</f>
        <v>0</v>
      </c>
      <c r="AA11" s="63">
        <f>SUM(AA12:AA17)</f>
        <v>2506797.73</v>
      </c>
      <c r="AB11" s="51"/>
      <c r="AC11" s="62">
        <f>SUM(AC12:AC17)</f>
        <v>0</v>
      </c>
      <c r="AD11" s="62">
        <f>SUM(AD12:AD17)</f>
        <v>0</v>
      </c>
      <c r="AE11" s="63">
        <f>SUM(AE12:AE17)</f>
        <v>2506797.73</v>
      </c>
      <c r="AF11" s="51"/>
      <c r="AG11" s="62">
        <f>SUM(AG12:AG17)</f>
        <v>0</v>
      </c>
      <c r="AH11" s="62">
        <f>SUM(AH12:AH17)</f>
        <v>0</v>
      </c>
      <c r="AI11" s="63">
        <f>SUM(AI12:AI17)</f>
        <v>2506797.73</v>
      </c>
      <c r="AJ11" s="51"/>
      <c r="AK11" s="62">
        <f>SUM(AK12:AK17)</f>
        <v>0</v>
      </c>
      <c r="AL11" s="62">
        <f>SUM(AL12:AL17)</f>
        <v>0</v>
      </c>
      <c r="AM11" s="63">
        <f>SUM(AM12:AM17)</f>
        <v>2506797.73</v>
      </c>
      <c r="AN11" s="51"/>
      <c r="AO11" s="62">
        <f>SUM(AO12:AO17)</f>
        <v>0</v>
      </c>
      <c r="AP11" s="62">
        <f>SUM(AP12:AP17)</f>
        <v>0</v>
      </c>
      <c r="AQ11" s="63">
        <f>SUM(AQ12:AQ17)</f>
        <v>2506797.73</v>
      </c>
      <c r="AR11" s="51"/>
      <c r="AS11" s="62">
        <f>SUM(AS12:AS17)</f>
        <v>0</v>
      </c>
      <c r="AT11" s="62">
        <f>SUM(AT12:AT17)</f>
        <v>0</v>
      </c>
      <c r="AU11" s="63">
        <f>SUM(AU12:AU17)</f>
        <v>2506797.73</v>
      </c>
      <c r="AV11" s="51"/>
      <c r="AW11" s="62">
        <f>SUM(AW12:AW17)</f>
        <v>0</v>
      </c>
      <c r="AX11" s="62">
        <f>SUM(AX12:AX17)</f>
        <v>0</v>
      </c>
      <c r="AY11" s="63">
        <f>SUM(AY12:AY17)</f>
        <v>2506797.73</v>
      </c>
      <c r="AZ11" s="51"/>
      <c r="BA11" s="545">
        <f>SUM(BA12:BA17)</f>
        <v>0</v>
      </c>
      <c r="BB11" s="62">
        <f>SUM(BB12:BB17)</f>
        <v>0</v>
      </c>
      <c r="BC11" s="63">
        <f>SUM(BC12:BC17)</f>
        <v>2506797.73</v>
      </c>
    </row>
    <row r="12" spans="1:55" ht="15">
      <c r="A12" s="537" t="s">
        <v>64</v>
      </c>
      <c r="B12" s="551" t="s">
        <v>528</v>
      </c>
      <c r="C12" s="54"/>
      <c r="D12" s="49"/>
      <c r="E12" s="7"/>
      <c r="F12" s="7"/>
      <c r="G12" s="50">
        <f aca="true" t="shared" si="2" ref="G12:G17">D12+E12-F12</f>
        <v>0</v>
      </c>
      <c r="H12" s="51"/>
      <c r="I12" s="7"/>
      <c r="J12" s="7"/>
      <c r="K12" s="52">
        <f>G12+I12-J12</f>
        <v>0</v>
      </c>
      <c r="L12" s="51"/>
      <c r="M12" s="7"/>
      <c r="N12" s="7"/>
      <c r="O12" s="52">
        <f>K12+M12-N12</f>
        <v>0</v>
      </c>
      <c r="P12" s="51"/>
      <c r="Q12" s="7"/>
      <c r="R12" s="7"/>
      <c r="S12" s="52">
        <f>O12+Q12-R12</f>
        <v>0</v>
      </c>
      <c r="T12" s="51"/>
      <c r="U12" s="7"/>
      <c r="V12" s="7"/>
      <c r="W12" s="52">
        <f>S12+U12-V12</f>
        <v>0</v>
      </c>
      <c r="X12" s="51"/>
      <c r="Y12" s="7"/>
      <c r="Z12" s="7"/>
      <c r="AA12" s="52">
        <f>W12+Y12-Z12</f>
        <v>0</v>
      </c>
      <c r="AB12" s="51"/>
      <c r="AC12" s="7"/>
      <c r="AD12" s="7"/>
      <c r="AE12" s="52">
        <f>AA12+AC12-AD12</f>
        <v>0</v>
      </c>
      <c r="AF12" s="51"/>
      <c r="AG12" s="7"/>
      <c r="AH12" s="7"/>
      <c r="AI12" s="52">
        <f>AE12+AG12-AH12</f>
        <v>0</v>
      </c>
      <c r="AJ12" s="51"/>
      <c r="AK12" s="7"/>
      <c r="AL12" s="7"/>
      <c r="AM12" s="52">
        <f>AI12+AK12-AL12</f>
        <v>0</v>
      </c>
      <c r="AN12" s="51"/>
      <c r="AO12" s="7"/>
      <c r="AP12" s="7"/>
      <c r="AQ12" s="52">
        <f>AM12+AO12-AP12</f>
        <v>0</v>
      </c>
      <c r="AR12" s="51"/>
      <c r="AS12" s="7"/>
      <c r="AT12" s="7"/>
      <c r="AU12" s="52">
        <f>AQ12+AS12-AT12</f>
        <v>0</v>
      </c>
      <c r="AV12" s="51"/>
      <c r="AW12" s="7"/>
      <c r="AX12" s="7"/>
      <c r="AY12" s="52">
        <f>AU12+AW12-AX12</f>
        <v>0</v>
      </c>
      <c r="AZ12" s="51"/>
      <c r="BA12" s="53">
        <f t="shared" si="0"/>
        <v>0</v>
      </c>
      <c r="BB12" s="7">
        <f t="shared" si="1"/>
        <v>0</v>
      </c>
      <c r="BC12" s="52">
        <f>D12+BA12-BB12</f>
        <v>0</v>
      </c>
    </row>
    <row r="13" spans="1:55" ht="14.25">
      <c r="A13" s="537" t="s">
        <v>65</v>
      </c>
      <c r="B13" s="551" t="s">
        <v>529</v>
      </c>
      <c r="C13" s="55"/>
      <c r="D13" s="49"/>
      <c r="E13" s="7"/>
      <c r="F13" s="7"/>
      <c r="G13" s="50">
        <f t="shared" si="2"/>
        <v>0</v>
      </c>
      <c r="H13" s="51"/>
      <c r="I13" s="7"/>
      <c r="J13" s="7"/>
      <c r="K13" s="52">
        <f aca="true" t="shared" si="3" ref="K13:K54">G13+I13-J13</f>
        <v>0</v>
      </c>
      <c r="L13" s="51"/>
      <c r="M13" s="7"/>
      <c r="N13" s="7"/>
      <c r="O13" s="52">
        <f aca="true" t="shared" si="4" ref="O13:O54">K13+M13-N13</f>
        <v>0</v>
      </c>
      <c r="P13" s="51"/>
      <c r="Q13" s="7"/>
      <c r="R13" s="7"/>
      <c r="S13" s="52">
        <f aca="true" t="shared" si="5" ref="S13:S54">O13+Q13-R13</f>
        <v>0</v>
      </c>
      <c r="T13" s="51"/>
      <c r="U13" s="7"/>
      <c r="V13" s="7"/>
      <c r="W13" s="52">
        <f aca="true" t="shared" si="6" ref="W13:W54">S13+U13-V13</f>
        <v>0</v>
      </c>
      <c r="X13" s="51"/>
      <c r="Y13" s="7"/>
      <c r="Z13" s="7"/>
      <c r="AA13" s="52">
        <f aca="true" t="shared" si="7" ref="AA13:AA54">W13+Y13-Z13</f>
        <v>0</v>
      </c>
      <c r="AB13" s="51"/>
      <c r="AC13" s="7"/>
      <c r="AD13" s="7"/>
      <c r="AE13" s="52">
        <f aca="true" t="shared" si="8" ref="AE13:AE54">AA13+AC13-AD13</f>
        <v>0</v>
      </c>
      <c r="AF13" s="51"/>
      <c r="AG13" s="7"/>
      <c r="AH13" s="7"/>
      <c r="AI13" s="52">
        <f aca="true" t="shared" si="9" ref="AI13:AI54">AE13+AG13-AH13</f>
        <v>0</v>
      </c>
      <c r="AJ13" s="51"/>
      <c r="AK13" s="7"/>
      <c r="AL13" s="7"/>
      <c r="AM13" s="52">
        <f aca="true" t="shared" si="10" ref="AM13:AM54">AI13+AK13-AL13</f>
        <v>0</v>
      </c>
      <c r="AN13" s="51"/>
      <c r="AO13" s="7"/>
      <c r="AP13" s="7"/>
      <c r="AQ13" s="52">
        <f aca="true" t="shared" si="11" ref="AQ13:AQ54">AM13+AO13-AP13</f>
        <v>0</v>
      </c>
      <c r="AR13" s="51"/>
      <c r="AS13" s="7"/>
      <c r="AT13" s="7"/>
      <c r="AU13" s="52">
        <f aca="true" t="shared" si="12" ref="AU13:AU54">AQ13+AS13-AT13</f>
        <v>0</v>
      </c>
      <c r="AV13" s="51"/>
      <c r="AW13" s="7"/>
      <c r="AX13" s="7"/>
      <c r="AY13" s="52">
        <f aca="true" t="shared" si="13" ref="AY13:AY54">AU13+AW13-AX13</f>
        <v>0</v>
      </c>
      <c r="AZ13" s="51"/>
      <c r="BA13" s="53">
        <f t="shared" si="0"/>
        <v>0</v>
      </c>
      <c r="BB13" s="7">
        <f t="shared" si="1"/>
        <v>0</v>
      </c>
      <c r="BC13" s="52">
        <f aca="true" t="shared" si="14" ref="BC13:BC44">D13+BA13-BB13</f>
        <v>0</v>
      </c>
    </row>
    <row r="14" spans="1:55" ht="14.25">
      <c r="A14" s="537" t="s">
        <v>66</v>
      </c>
      <c r="B14" s="551" t="s">
        <v>530</v>
      </c>
      <c r="C14" s="56"/>
      <c r="D14" s="49"/>
      <c r="E14" s="7"/>
      <c r="F14" s="7"/>
      <c r="G14" s="50">
        <f t="shared" si="2"/>
        <v>0</v>
      </c>
      <c r="H14" s="51"/>
      <c r="I14" s="7"/>
      <c r="J14" s="7"/>
      <c r="K14" s="52">
        <f t="shared" si="3"/>
        <v>0</v>
      </c>
      <c r="L14" s="51"/>
      <c r="M14" s="7"/>
      <c r="N14" s="7"/>
      <c r="O14" s="52">
        <f t="shared" si="4"/>
        <v>0</v>
      </c>
      <c r="P14" s="51"/>
      <c r="Q14" s="7"/>
      <c r="R14" s="7"/>
      <c r="S14" s="52">
        <f t="shared" si="5"/>
        <v>0</v>
      </c>
      <c r="T14" s="51"/>
      <c r="U14" s="7"/>
      <c r="V14" s="7"/>
      <c r="W14" s="52">
        <f t="shared" si="6"/>
        <v>0</v>
      </c>
      <c r="X14" s="51"/>
      <c r="Y14" s="7"/>
      <c r="Z14" s="7"/>
      <c r="AA14" s="52">
        <f t="shared" si="7"/>
        <v>0</v>
      </c>
      <c r="AB14" s="51"/>
      <c r="AC14" s="7"/>
      <c r="AD14" s="7"/>
      <c r="AE14" s="52">
        <f t="shared" si="8"/>
        <v>0</v>
      </c>
      <c r="AF14" s="51"/>
      <c r="AG14" s="7"/>
      <c r="AH14" s="7"/>
      <c r="AI14" s="52">
        <f t="shared" si="9"/>
        <v>0</v>
      </c>
      <c r="AJ14" s="51"/>
      <c r="AK14" s="7"/>
      <c r="AL14" s="7"/>
      <c r="AM14" s="52">
        <f t="shared" si="10"/>
        <v>0</v>
      </c>
      <c r="AN14" s="51"/>
      <c r="AO14" s="7"/>
      <c r="AP14" s="7"/>
      <c r="AQ14" s="52">
        <f t="shared" si="11"/>
        <v>0</v>
      </c>
      <c r="AR14" s="51"/>
      <c r="AS14" s="7"/>
      <c r="AT14" s="7"/>
      <c r="AU14" s="52">
        <f t="shared" si="12"/>
        <v>0</v>
      </c>
      <c r="AV14" s="51"/>
      <c r="AW14" s="7"/>
      <c r="AX14" s="7"/>
      <c r="AY14" s="52">
        <f t="shared" si="13"/>
        <v>0</v>
      </c>
      <c r="AZ14" s="51"/>
      <c r="BA14" s="53">
        <f t="shared" si="0"/>
        <v>0</v>
      </c>
      <c r="BB14" s="7">
        <f t="shared" si="1"/>
        <v>0</v>
      </c>
      <c r="BC14" s="52">
        <f t="shared" si="14"/>
        <v>0</v>
      </c>
    </row>
    <row r="15" spans="1:55" ht="15">
      <c r="A15" s="537" t="s">
        <v>67</v>
      </c>
      <c r="B15" s="551" t="s">
        <v>531</v>
      </c>
      <c r="C15" s="54"/>
      <c r="D15" s="49"/>
      <c r="E15" s="7"/>
      <c r="F15" s="7"/>
      <c r="G15" s="50">
        <f t="shared" si="2"/>
        <v>0</v>
      </c>
      <c r="H15" s="51"/>
      <c r="I15" s="7"/>
      <c r="J15" s="7"/>
      <c r="K15" s="52">
        <f t="shared" si="3"/>
        <v>0</v>
      </c>
      <c r="L15" s="51"/>
      <c r="M15" s="7"/>
      <c r="N15" s="7"/>
      <c r="O15" s="52">
        <f t="shared" si="4"/>
        <v>0</v>
      </c>
      <c r="P15" s="51"/>
      <c r="Q15" s="7"/>
      <c r="R15" s="7"/>
      <c r="S15" s="52">
        <f t="shared" si="5"/>
        <v>0</v>
      </c>
      <c r="T15" s="51"/>
      <c r="U15" s="7"/>
      <c r="V15" s="7"/>
      <c r="W15" s="52">
        <f t="shared" si="6"/>
        <v>0</v>
      </c>
      <c r="X15" s="51"/>
      <c r="Y15" s="7"/>
      <c r="Z15" s="7"/>
      <c r="AA15" s="52">
        <f t="shared" si="7"/>
        <v>0</v>
      </c>
      <c r="AB15" s="51"/>
      <c r="AC15" s="7"/>
      <c r="AD15" s="7"/>
      <c r="AE15" s="52">
        <f t="shared" si="8"/>
        <v>0</v>
      </c>
      <c r="AF15" s="51"/>
      <c r="AG15" s="7"/>
      <c r="AH15" s="7"/>
      <c r="AI15" s="52">
        <f t="shared" si="9"/>
        <v>0</v>
      </c>
      <c r="AJ15" s="51"/>
      <c r="AK15" s="7"/>
      <c r="AL15" s="7"/>
      <c r="AM15" s="52">
        <f t="shared" si="10"/>
        <v>0</v>
      </c>
      <c r="AN15" s="51"/>
      <c r="AO15" s="7"/>
      <c r="AP15" s="7"/>
      <c r="AQ15" s="52">
        <f t="shared" si="11"/>
        <v>0</v>
      </c>
      <c r="AR15" s="51"/>
      <c r="AS15" s="7"/>
      <c r="AT15" s="7"/>
      <c r="AU15" s="52">
        <f t="shared" si="12"/>
        <v>0</v>
      </c>
      <c r="AV15" s="51"/>
      <c r="AW15" s="7"/>
      <c r="AX15" s="7"/>
      <c r="AY15" s="52">
        <f t="shared" si="13"/>
        <v>0</v>
      </c>
      <c r="AZ15" s="51"/>
      <c r="BA15" s="53">
        <f t="shared" si="0"/>
        <v>0</v>
      </c>
      <c r="BB15" s="7">
        <f t="shared" si="1"/>
        <v>0</v>
      </c>
      <c r="BC15" s="52">
        <f t="shared" si="14"/>
        <v>0</v>
      </c>
    </row>
    <row r="16" spans="1:55" ht="15">
      <c r="A16" s="537" t="s">
        <v>68</v>
      </c>
      <c r="B16" s="551" t="s">
        <v>532</v>
      </c>
      <c r="C16" s="54"/>
      <c r="D16" s="49">
        <v>2506797.73</v>
      </c>
      <c r="E16" s="7"/>
      <c r="F16" s="7"/>
      <c r="G16" s="50">
        <f t="shared" si="2"/>
        <v>2506797.73</v>
      </c>
      <c r="H16" s="51"/>
      <c r="I16" s="7"/>
      <c r="J16" s="7"/>
      <c r="K16" s="52">
        <f t="shared" si="3"/>
        <v>2506797.73</v>
      </c>
      <c r="L16" s="51"/>
      <c r="M16" s="7"/>
      <c r="N16" s="7"/>
      <c r="O16" s="52">
        <f t="shared" si="4"/>
        <v>2506797.73</v>
      </c>
      <c r="P16" s="51"/>
      <c r="Q16" s="7"/>
      <c r="R16" s="7"/>
      <c r="S16" s="52">
        <f t="shared" si="5"/>
        <v>2506797.73</v>
      </c>
      <c r="T16" s="51"/>
      <c r="U16" s="7"/>
      <c r="V16" s="7"/>
      <c r="W16" s="52">
        <f t="shared" si="6"/>
        <v>2506797.73</v>
      </c>
      <c r="X16" s="51"/>
      <c r="Y16" s="7"/>
      <c r="Z16" s="7"/>
      <c r="AA16" s="52">
        <f t="shared" si="7"/>
        <v>2506797.73</v>
      </c>
      <c r="AB16" s="51"/>
      <c r="AC16" s="7"/>
      <c r="AD16" s="7"/>
      <c r="AE16" s="52">
        <f t="shared" si="8"/>
        <v>2506797.73</v>
      </c>
      <c r="AF16" s="51"/>
      <c r="AG16" s="7"/>
      <c r="AH16" s="7"/>
      <c r="AI16" s="52">
        <f t="shared" si="9"/>
        <v>2506797.73</v>
      </c>
      <c r="AJ16" s="51"/>
      <c r="AK16" s="7"/>
      <c r="AL16" s="7"/>
      <c r="AM16" s="52">
        <f t="shared" si="10"/>
        <v>2506797.73</v>
      </c>
      <c r="AN16" s="51"/>
      <c r="AO16" s="7"/>
      <c r="AP16" s="7"/>
      <c r="AQ16" s="52">
        <f t="shared" si="11"/>
        <v>2506797.73</v>
      </c>
      <c r="AR16" s="51"/>
      <c r="AS16" s="7"/>
      <c r="AT16" s="7"/>
      <c r="AU16" s="52">
        <f t="shared" si="12"/>
        <v>2506797.73</v>
      </c>
      <c r="AV16" s="51"/>
      <c r="AW16" s="7"/>
      <c r="AX16" s="7"/>
      <c r="AY16" s="52">
        <f t="shared" si="13"/>
        <v>2506797.73</v>
      </c>
      <c r="AZ16" s="51"/>
      <c r="BA16" s="53">
        <f t="shared" si="0"/>
        <v>0</v>
      </c>
      <c r="BB16" s="7">
        <f t="shared" si="1"/>
        <v>0</v>
      </c>
      <c r="BC16" s="52">
        <f t="shared" si="14"/>
        <v>2506797.73</v>
      </c>
    </row>
    <row r="17" spans="1:55" ht="14.25">
      <c r="A17" s="537" t="s">
        <v>69</v>
      </c>
      <c r="B17" s="551" t="s">
        <v>533</v>
      </c>
      <c r="C17" s="56"/>
      <c r="D17" s="49"/>
      <c r="E17" s="7"/>
      <c r="F17" s="7"/>
      <c r="G17" s="50">
        <f t="shared" si="2"/>
        <v>0</v>
      </c>
      <c r="H17" s="51"/>
      <c r="I17" s="7"/>
      <c r="J17" s="7"/>
      <c r="K17" s="52">
        <f t="shared" si="3"/>
        <v>0</v>
      </c>
      <c r="L17" s="51"/>
      <c r="M17" s="7"/>
      <c r="N17" s="7"/>
      <c r="O17" s="52">
        <f t="shared" si="4"/>
        <v>0</v>
      </c>
      <c r="P17" s="51"/>
      <c r="Q17" s="7"/>
      <c r="R17" s="7"/>
      <c r="S17" s="52">
        <f t="shared" si="5"/>
        <v>0</v>
      </c>
      <c r="T17" s="51"/>
      <c r="U17" s="7"/>
      <c r="V17" s="7"/>
      <c r="W17" s="52">
        <f t="shared" si="6"/>
        <v>0</v>
      </c>
      <c r="X17" s="51"/>
      <c r="Y17" s="7"/>
      <c r="Z17" s="7"/>
      <c r="AA17" s="52">
        <f t="shared" si="7"/>
        <v>0</v>
      </c>
      <c r="AB17" s="51"/>
      <c r="AC17" s="7"/>
      <c r="AD17" s="7"/>
      <c r="AE17" s="52">
        <f t="shared" si="8"/>
        <v>0</v>
      </c>
      <c r="AF17" s="51"/>
      <c r="AG17" s="7"/>
      <c r="AH17" s="7"/>
      <c r="AI17" s="52">
        <f t="shared" si="9"/>
        <v>0</v>
      </c>
      <c r="AJ17" s="51"/>
      <c r="AK17" s="7"/>
      <c r="AL17" s="7"/>
      <c r="AM17" s="52">
        <f t="shared" si="10"/>
        <v>0</v>
      </c>
      <c r="AN17" s="51"/>
      <c r="AO17" s="7"/>
      <c r="AP17" s="7"/>
      <c r="AQ17" s="52">
        <f t="shared" si="11"/>
        <v>0</v>
      </c>
      <c r="AR17" s="51"/>
      <c r="AS17" s="7"/>
      <c r="AT17" s="7"/>
      <c r="AU17" s="52">
        <f t="shared" si="12"/>
        <v>0</v>
      </c>
      <c r="AV17" s="51"/>
      <c r="AW17" s="7"/>
      <c r="AX17" s="7"/>
      <c r="AY17" s="52">
        <f t="shared" si="13"/>
        <v>0</v>
      </c>
      <c r="AZ17" s="51"/>
      <c r="BA17" s="53">
        <f t="shared" si="0"/>
        <v>0</v>
      </c>
      <c r="BB17" s="7">
        <f t="shared" si="1"/>
        <v>0</v>
      </c>
      <c r="BC17" s="52">
        <f t="shared" si="14"/>
        <v>0</v>
      </c>
    </row>
    <row r="18" spans="1:55" ht="14.25">
      <c r="A18" s="543">
        <v>110100</v>
      </c>
      <c r="B18" s="676" t="s">
        <v>728</v>
      </c>
      <c r="C18" s="56"/>
      <c r="D18" s="61">
        <f>SUM(D19:D22)</f>
        <v>0</v>
      </c>
      <c r="E18" s="62">
        <f>SUM(E19:E22)</f>
        <v>0</v>
      </c>
      <c r="F18" s="62">
        <f>SUM(F19:F22)</f>
        <v>0</v>
      </c>
      <c r="G18" s="63">
        <f>SUM(G19:G22)</f>
        <v>0</v>
      </c>
      <c r="H18" s="51"/>
      <c r="I18" s="62">
        <f>SUM(I19:I22)</f>
        <v>0</v>
      </c>
      <c r="J18" s="62">
        <f>SUM(J19:J22)</f>
        <v>0</v>
      </c>
      <c r="K18" s="63">
        <f>SUM(K19:K22)</f>
        <v>0</v>
      </c>
      <c r="L18" s="51"/>
      <c r="M18" s="62">
        <f>SUM(M19:M22)</f>
        <v>0</v>
      </c>
      <c r="N18" s="62">
        <f>SUM(N19:N22)</f>
        <v>0</v>
      </c>
      <c r="O18" s="63">
        <f>SUM(O19:O22)</f>
        <v>0</v>
      </c>
      <c r="P18" s="51"/>
      <c r="Q18" s="62">
        <f>SUM(Q19:Q22)</f>
        <v>0</v>
      </c>
      <c r="R18" s="62">
        <f>SUM(R19:R22)</f>
        <v>0</v>
      </c>
      <c r="S18" s="63">
        <f>SUM(S19:S22)</f>
        <v>0</v>
      </c>
      <c r="T18" s="51"/>
      <c r="U18" s="62">
        <f>SUM(U19:U22)</f>
        <v>0</v>
      </c>
      <c r="V18" s="62">
        <f>SUM(V19:V22)</f>
        <v>0</v>
      </c>
      <c r="W18" s="63">
        <f>SUM(W19:W22)</f>
        <v>0</v>
      </c>
      <c r="X18" s="51"/>
      <c r="Y18" s="62">
        <f>SUM(Y19:Y22)</f>
        <v>0</v>
      </c>
      <c r="Z18" s="62">
        <f>SUM(Z19:Z22)</f>
        <v>0</v>
      </c>
      <c r="AA18" s="63">
        <f>SUM(AA19:AA22)</f>
        <v>0</v>
      </c>
      <c r="AB18" s="51"/>
      <c r="AC18" s="62">
        <f>SUM(AC19:AC22)</f>
        <v>0</v>
      </c>
      <c r="AD18" s="62">
        <f>SUM(AD19:AD22)</f>
        <v>0</v>
      </c>
      <c r="AE18" s="63">
        <f>SUM(AE19:AE22)</f>
        <v>0</v>
      </c>
      <c r="AF18" s="51"/>
      <c r="AG18" s="62">
        <f>SUM(AG19:AG22)</f>
        <v>0</v>
      </c>
      <c r="AH18" s="62">
        <f>SUM(AH19:AH22)</f>
        <v>0</v>
      </c>
      <c r="AI18" s="63">
        <f>SUM(AI19:AI22)</f>
        <v>0</v>
      </c>
      <c r="AJ18" s="51"/>
      <c r="AK18" s="62">
        <f>SUM(AK19:AK22)</f>
        <v>0</v>
      </c>
      <c r="AL18" s="62">
        <f>SUM(AL19:AL22)</f>
        <v>0</v>
      </c>
      <c r="AM18" s="63">
        <f>SUM(AM19:AM22)</f>
        <v>0</v>
      </c>
      <c r="AN18" s="51"/>
      <c r="AO18" s="62">
        <f>SUM(AO19:AO22)</f>
        <v>0</v>
      </c>
      <c r="AP18" s="62">
        <f>SUM(AP19:AP22)</f>
        <v>0</v>
      </c>
      <c r="AQ18" s="63">
        <f>SUM(AQ19:AQ22)</f>
        <v>0</v>
      </c>
      <c r="AR18" s="51"/>
      <c r="AS18" s="62">
        <f>SUM(AS19:AS22)</f>
        <v>0</v>
      </c>
      <c r="AT18" s="62">
        <f>SUM(AT19:AT22)</f>
        <v>0</v>
      </c>
      <c r="AU18" s="63">
        <f>SUM(AU19:AU22)</f>
        <v>0</v>
      </c>
      <c r="AV18" s="51"/>
      <c r="AW18" s="62">
        <f>SUM(AW19:AW22)</f>
        <v>0</v>
      </c>
      <c r="AX18" s="62">
        <f>SUM(AX19:AX22)</f>
        <v>0</v>
      </c>
      <c r="AY18" s="63">
        <f>SUM(AY19:AY22)</f>
        <v>0</v>
      </c>
      <c r="AZ18" s="51"/>
      <c r="BA18" s="545">
        <f>SUM(BA19:BA22)</f>
        <v>0</v>
      </c>
      <c r="BB18" s="62">
        <f>SUM(BB19:BB22)</f>
        <v>0</v>
      </c>
      <c r="BC18" s="63">
        <f>SUM(BC19:BC22)</f>
        <v>0</v>
      </c>
    </row>
    <row r="19" spans="1:55" ht="14.25">
      <c r="A19" s="537" t="s">
        <v>71</v>
      </c>
      <c r="B19" s="551" t="s">
        <v>535</v>
      </c>
      <c r="C19" s="56"/>
      <c r="D19" s="49"/>
      <c r="E19" s="7"/>
      <c r="F19" s="7"/>
      <c r="G19" s="50">
        <f aca="true" t="shared" si="15" ref="G19:G54">D19+E19-F19</f>
        <v>0</v>
      </c>
      <c r="H19" s="51"/>
      <c r="I19" s="7"/>
      <c r="J19" s="7"/>
      <c r="K19" s="52">
        <f t="shared" si="3"/>
        <v>0</v>
      </c>
      <c r="L19" s="51"/>
      <c r="M19" s="7"/>
      <c r="N19" s="7"/>
      <c r="O19" s="52">
        <f t="shared" si="4"/>
        <v>0</v>
      </c>
      <c r="P19" s="51"/>
      <c r="Q19" s="7"/>
      <c r="R19" s="7"/>
      <c r="S19" s="52">
        <f t="shared" si="5"/>
        <v>0</v>
      </c>
      <c r="T19" s="51"/>
      <c r="U19" s="7"/>
      <c r="V19" s="7"/>
      <c r="W19" s="52">
        <f t="shared" si="6"/>
        <v>0</v>
      </c>
      <c r="X19" s="51"/>
      <c r="Y19" s="7"/>
      <c r="Z19" s="7"/>
      <c r="AA19" s="52">
        <f t="shared" si="7"/>
        <v>0</v>
      </c>
      <c r="AB19" s="51"/>
      <c r="AC19" s="7"/>
      <c r="AD19" s="7"/>
      <c r="AE19" s="52">
        <f t="shared" si="8"/>
        <v>0</v>
      </c>
      <c r="AF19" s="51"/>
      <c r="AG19" s="7"/>
      <c r="AH19" s="7"/>
      <c r="AI19" s="52">
        <f t="shared" si="9"/>
        <v>0</v>
      </c>
      <c r="AJ19" s="51"/>
      <c r="AK19" s="7"/>
      <c r="AL19" s="7"/>
      <c r="AM19" s="52">
        <f t="shared" si="10"/>
        <v>0</v>
      </c>
      <c r="AN19" s="51"/>
      <c r="AO19" s="7"/>
      <c r="AP19" s="7"/>
      <c r="AQ19" s="52">
        <f t="shared" si="11"/>
        <v>0</v>
      </c>
      <c r="AR19" s="51"/>
      <c r="AS19" s="7"/>
      <c r="AT19" s="7"/>
      <c r="AU19" s="52">
        <f t="shared" si="12"/>
        <v>0</v>
      </c>
      <c r="AV19" s="51"/>
      <c r="AW19" s="7"/>
      <c r="AX19" s="7"/>
      <c r="AY19" s="52">
        <f t="shared" si="13"/>
        <v>0</v>
      </c>
      <c r="AZ19" s="51"/>
      <c r="BA19" s="53">
        <f t="shared" si="0"/>
        <v>0</v>
      </c>
      <c r="BB19" s="7">
        <f t="shared" si="1"/>
        <v>0</v>
      </c>
      <c r="BC19" s="52">
        <f t="shared" si="14"/>
        <v>0</v>
      </c>
    </row>
    <row r="20" spans="1:55" ht="14.25">
      <c r="A20" s="537" t="s">
        <v>72</v>
      </c>
      <c r="B20" s="551" t="s">
        <v>536</v>
      </c>
      <c r="C20" s="56"/>
      <c r="D20" s="49"/>
      <c r="E20" s="7"/>
      <c r="F20" s="7"/>
      <c r="G20" s="50">
        <f t="shared" si="15"/>
        <v>0</v>
      </c>
      <c r="H20" s="51"/>
      <c r="I20" s="7"/>
      <c r="J20" s="7"/>
      <c r="K20" s="52">
        <f t="shared" si="3"/>
        <v>0</v>
      </c>
      <c r="L20" s="51"/>
      <c r="M20" s="7"/>
      <c r="N20" s="7"/>
      <c r="O20" s="52">
        <f t="shared" si="4"/>
        <v>0</v>
      </c>
      <c r="P20" s="51"/>
      <c r="Q20" s="7"/>
      <c r="R20" s="7"/>
      <c r="S20" s="52">
        <f t="shared" si="5"/>
        <v>0</v>
      </c>
      <c r="T20" s="51"/>
      <c r="U20" s="7"/>
      <c r="V20" s="7"/>
      <c r="W20" s="52">
        <f t="shared" si="6"/>
        <v>0</v>
      </c>
      <c r="X20" s="51"/>
      <c r="Y20" s="7"/>
      <c r="Z20" s="7"/>
      <c r="AA20" s="52">
        <f t="shared" si="7"/>
        <v>0</v>
      </c>
      <c r="AB20" s="51"/>
      <c r="AC20" s="7"/>
      <c r="AD20" s="7"/>
      <c r="AE20" s="52">
        <f t="shared" si="8"/>
        <v>0</v>
      </c>
      <c r="AF20" s="51"/>
      <c r="AG20" s="7"/>
      <c r="AH20" s="7"/>
      <c r="AI20" s="52">
        <f t="shared" si="9"/>
        <v>0</v>
      </c>
      <c r="AJ20" s="51"/>
      <c r="AK20" s="7"/>
      <c r="AL20" s="7"/>
      <c r="AM20" s="52">
        <f t="shared" si="10"/>
        <v>0</v>
      </c>
      <c r="AN20" s="51"/>
      <c r="AO20" s="7"/>
      <c r="AP20" s="7"/>
      <c r="AQ20" s="52">
        <f t="shared" si="11"/>
        <v>0</v>
      </c>
      <c r="AR20" s="51"/>
      <c r="AS20" s="7"/>
      <c r="AT20" s="7"/>
      <c r="AU20" s="52">
        <f t="shared" si="12"/>
        <v>0</v>
      </c>
      <c r="AV20" s="51"/>
      <c r="AW20" s="7"/>
      <c r="AX20" s="7"/>
      <c r="AY20" s="52">
        <f t="shared" si="13"/>
        <v>0</v>
      </c>
      <c r="AZ20" s="51"/>
      <c r="BA20" s="53">
        <f t="shared" si="0"/>
        <v>0</v>
      </c>
      <c r="BB20" s="7">
        <f t="shared" si="1"/>
        <v>0</v>
      </c>
      <c r="BC20" s="52">
        <f t="shared" si="14"/>
        <v>0</v>
      </c>
    </row>
    <row r="21" spans="1:55" ht="14.25">
      <c r="A21" s="537" t="s">
        <v>73</v>
      </c>
      <c r="B21" s="551" t="s">
        <v>537</v>
      </c>
      <c r="C21" s="56"/>
      <c r="D21" s="49"/>
      <c r="E21" s="7"/>
      <c r="F21" s="7"/>
      <c r="G21" s="50">
        <f t="shared" si="15"/>
        <v>0</v>
      </c>
      <c r="H21" s="51"/>
      <c r="I21" s="7"/>
      <c r="J21" s="7"/>
      <c r="K21" s="52">
        <f t="shared" si="3"/>
        <v>0</v>
      </c>
      <c r="L21" s="51"/>
      <c r="M21" s="7"/>
      <c r="N21" s="7"/>
      <c r="O21" s="52">
        <f t="shared" si="4"/>
        <v>0</v>
      </c>
      <c r="P21" s="51"/>
      <c r="Q21" s="7"/>
      <c r="R21" s="7"/>
      <c r="S21" s="52">
        <f t="shared" si="5"/>
        <v>0</v>
      </c>
      <c r="T21" s="51"/>
      <c r="U21" s="7"/>
      <c r="V21" s="7"/>
      <c r="W21" s="52">
        <f t="shared" si="6"/>
        <v>0</v>
      </c>
      <c r="X21" s="51"/>
      <c r="Y21" s="7"/>
      <c r="Z21" s="7"/>
      <c r="AA21" s="52">
        <f t="shared" si="7"/>
        <v>0</v>
      </c>
      <c r="AB21" s="51"/>
      <c r="AC21" s="7"/>
      <c r="AD21" s="7"/>
      <c r="AE21" s="52">
        <f t="shared" si="8"/>
        <v>0</v>
      </c>
      <c r="AF21" s="51"/>
      <c r="AG21" s="7"/>
      <c r="AH21" s="7"/>
      <c r="AI21" s="52">
        <f t="shared" si="9"/>
        <v>0</v>
      </c>
      <c r="AJ21" s="51"/>
      <c r="AK21" s="7"/>
      <c r="AL21" s="7"/>
      <c r="AM21" s="52">
        <f t="shared" si="10"/>
        <v>0</v>
      </c>
      <c r="AN21" s="51"/>
      <c r="AO21" s="7"/>
      <c r="AP21" s="7"/>
      <c r="AQ21" s="52">
        <f t="shared" si="11"/>
        <v>0</v>
      </c>
      <c r="AR21" s="51"/>
      <c r="AS21" s="7"/>
      <c r="AT21" s="7"/>
      <c r="AU21" s="52">
        <f t="shared" si="12"/>
        <v>0</v>
      </c>
      <c r="AV21" s="51"/>
      <c r="AW21" s="7"/>
      <c r="AX21" s="7"/>
      <c r="AY21" s="52">
        <f t="shared" si="13"/>
        <v>0</v>
      </c>
      <c r="AZ21" s="51"/>
      <c r="BA21" s="53">
        <f aca="true" t="shared" si="16" ref="BA21:BA84">E21+I21+M21+Q21+U21+Y21+AC21+AG21+AK21+AO21+AS21+AW21</f>
        <v>0</v>
      </c>
      <c r="BB21" s="7">
        <f aca="true" t="shared" si="17" ref="BB21:BB84">F21+J21+N21+R21+V21+Z21+AD21+AH21+AL21+AP21+AT21+AX21</f>
        <v>0</v>
      </c>
      <c r="BC21" s="52">
        <f t="shared" si="14"/>
        <v>0</v>
      </c>
    </row>
    <row r="22" spans="1:55" ht="15">
      <c r="A22" s="537" t="s">
        <v>74</v>
      </c>
      <c r="B22" s="551" t="s">
        <v>1019</v>
      </c>
      <c r="C22" s="54"/>
      <c r="D22" s="49"/>
      <c r="E22" s="7"/>
      <c r="F22" s="7"/>
      <c r="G22" s="50">
        <f t="shared" si="15"/>
        <v>0</v>
      </c>
      <c r="H22" s="51"/>
      <c r="I22" s="7"/>
      <c r="J22" s="7"/>
      <c r="K22" s="52">
        <f t="shared" si="3"/>
        <v>0</v>
      </c>
      <c r="L22" s="51"/>
      <c r="M22" s="7"/>
      <c r="N22" s="7"/>
      <c r="O22" s="52">
        <f t="shared" si="4"/>
        <v>0</v>
      </c>
      <c r="P22" s="51"/>
      <c r="Q22" s="7"/>
      <c r="R22" s="7"/>
      <c r="S22" s="52">
        <f t="shared" si="5"/>
        <v>0</v>
      </c>
      <c r="T22" s="51"/>
      <c r="U22" s="7"/>
      <c r="V22" s="7"/>
      <c r="W22" s="52">
        <f t="shared" si="6"/>
        <v>0</v>
      </c>
      <c r="X22" s="51"/>
      <c r="Y22" s="7"/>
      <c r="Z22" s="7"/>
      <c r="AA22" s="52">
        <f t="shared" si="7"/>
        <v>0</v>
      </c>
      <c r="AB22" s="51"/>
      <c r="AC22" s="7"/>
      <c r="AD22" s="7"/>
      <c r="AE22" s="52">
        <f t="shared" si="8"/>
        <v>0</v>
      </c>
      <c r="AF22" s="51"/>
      <c r="AG22" s="7"/>
      <c r="AH22" s="7"/>
      <c r="AI22" s="52">
        <f t="shared" si="9"/>
        <v>0</v>
      </c>
      <c r="AJ22" s="51"/>
      <c r="AK22" s="7"/>
      <c r="AL22" s="7"/>
      <c r="AM22" s="52">
        <f t="shared" si="10"/>
        <v>0</v>
      </c>
      <c r="AN22" s="51"/>
      <c r="AO22" s="7"/>
      <c r="AP22" s="7"/>
      <c r="AQ22" s="52">
        <f t="shared" si="11"/>
        <v>0</v>
      </c>
      <c r="AR22" s="51"/>
      <c r="AS22" s="7"/>
      <c r="AT22" s="7"/>
      <c r="AU22" s="52">
        <f t="shared" si="12"/>
        <v>0</v>
      </c>
      <c r="AV22" s="51"/>
      <c r="AW22" s="7"/>
      <c r="AX22" s="7"/>
      <c r="AY22" s="52">
        <f t="shared" si="13"/>
        <v>0</v>
      </c>
      <c r="AZ22" s="51"/>
      <c r="BA22" s="53">
        <f t="shared" si="16"/>
        <v>0</v>
      </c>
      <c r="BB22" s="7">
        <f t="shared" si="17"/>
        <v>0</v>
      </c>
      <c r="BC22" s="52">
        <f t="shared" si="14"/>
        <v>0</v>
      </c>
    </row>
    <row r="23" spans="1:55" ht="15">
      <c r="A23" s="537">
        <v>110200</v>
      </c>
      <c r="B23" s="677" t="s">
        <v>729</v>
      </c>
      <c r="C23" s="54"/>
      <c r="D23" s="49"/>
      <c r="E23" s="7"/>
      <c r="F23" s="7"/>
      <c r="G23" s="546">
        <f>D23+F23-E23</f>
        <v>0</v>
      </c>
      <c r="H23" s="51"/>
      <c r="I23" s="7"/>
      <c r="J23" s="7"/>
      <c r="K23" s="549">
        <f>G23+J23-I23</f>
        <v>0</v>
      </c>
      <c r="L23" s="51"/>
      <c r="M23" s="7"/>
      <c r="N23" s="7"/>
      <c r="O23" s="549">
        <f>K23+N23-M23</f>
        <v>0</v>
      </c>
      <c r="P23" s="51"/>
      <c r="Q23" s="7"/>
      <c r="R23" s="7"/>
      <c r="S23" s="549">
        <f>O23+R23-Q23</f>
        <v>0</v>
      </c>
      <c r="T23" s="51"/>
      <c r="U23" s="7"/>
      <c r="V23" s="7"/>
      <c r="W23" s="549">
        <f>S23+V23-U23</f>
        <v>0</v>
      </c>
      <c r="X23" s="51"/>
      <c r="Y23" s="7"/>
      <c r="Z23" s="7"/>
      <c r="AA23" s="549">
        <f>W23+Z23-Y23</f>
        <v>0</v>
      </c>
      <c r="AB23" s="51"/>
      <c r="AC23" s="7"/>
      <c r="AD23" s="7"/>
      <c r="AE23" s="549">
        <f>AA23+AD23-AC23</f>
        <v>0</v>
      </c>
      <c r="AF23" s="51"/>
      <c r="AG23" s="7"/>
      <c r="AH23" s="7"/>
      <c r="AI23" s="549">
        <f>AE23+AH23-AG23</f>
        <v>0</v>
      </c>
      <c r="AJ23" s="51"/>
      <c r="AK23" s="7"/>
      <c r="AL23" s="7"/>
      <c r="AM23" s="549">
        <f>AI23+AL23-AK23</f>
        <v>0</v>
      </c>
      <c r="AN23" s="51"/>
      <c r="AO23" s="7"/>
      <c r="AP23" s="7"/>
      <c r="AQ23" s="549">
        <f>AM23+AP23-AO23</f>
        <v>0</v>
      </c>
      <c r="AR23" s="51"/>
      <c r="AS23" s="7"/>
      <c r="AT23" s="7"/>
      <c r="AU23" s="549">
        <f>AQ23+AT23-AS23</f>
        <v>0</v>
      </c>
      <c r="AV23" s="51"/>
      <c r="AW23" s="7"/>
      <c r="AX23" s="7"/>
      <c r="AY23" s="549">
        <f>AU23+AX23-AW23</f>
        <v>0</v>
      </c>
      <c r="AZ23" s="51"/>
      <c r="BA23" s="53">
        <f t="shared" si="16"/>
        <v>0</v>
      </c>
      <c r="BB23" s="7">
        <f t="shared" si="17"/>
        <v>0</v>
      </c>
      <c r="BC23" s="549">
        <f>D23+BB23-BA23</f>
        <v>0</v>
      </c>
    </row>
    <row r="24" spans="1:55" ht="15">
      <c r="A24" s="537" t="s">
        <v>817</v>
      </c>
      <c r="B24" s="551" t="s">
        <v>761</v>
      </c>
      <c r="C24" s="54"/>
      <c r="D24" s="49"/>
      <c r="E24" s="7"/>
      <c r="F24" s="7"/>
      <c r="G24" s="50">
        <f t="shared" si="15"/>
        <v>0</v>
      </c>
      <c r="H24" s="51"/>
      <c r="I24" s="7"/>
      <c r="J24" s="7"/>
      <c r="K24" s="52">
        <f t="shared" si="3"/>
        <v>0</v>
      </c>
      <c r="L24" s="51"/>
      <c r="M24" s="7"/>
      <c r="N24" s="7"/>
      <c r="O24" s="52">
        <f t="shared" si="4"/>
        <v>0</v>
      </c>
      <c r="P24" s="51"/>
      <c r="Q24" s="7"/>
      <c r="R24" s="7"/>
      <c r="S24" s="52">
        <f t="shared" si="5"/>
        <v>0</v>
      </c>
      <c r="T24" s="51"/>
      <c r="U24" s="7"/>
      <c r="V24" s="7"/>
      <c r="W24" s="52">
        <f t="shared" si="6"/>
        <v>0</v>
      </c>
      <c r="X24" s="51"/>
      <c r="Y24" s="7"/>
      <c r="Z24" s="7"/>
      <c r="AA24" s="52">
        <f t="shared" si="7"/>
        <v>0</v>
      </c>
      <c r="AB24" s="51"/>
      <c r="AC24" s="7"/>
      <c r="AD24" s="7"/>
      <c r="AE24" s="52">
        <f t="shared" si="8"/>
        <v>0</v>
      </c>
      <c r="AF24" s="51"/>
      <c r="AG24" s="7"/>
      <c r="AH24" s="7"/>
      <c r="AI24" s="52">
        <f t="shared" si="9"/>
        <v>0</v>
      </c>
      <c r="AJ24" s="51"/>
      <c r="AK24" s="7"/>
      <c r="AL24" s="7"/>
      <c r="AM24" s="52">
        <f t="shared" si="10"/>
        <v>0</v>
      </c>
      <c r="AN24" s="51"/>
      <c r="AO24" s="7"/>
      <c r="AP24" s="7"/>
      <c r="AQ24" s="52">
        <f t="shared" si="11"/>
        <v>0</v>
      </c>
      <c r="AR24" s="51"/>
      <c r="AS24" s="7"/>
      <c r="AT24" s="7"/>
      <c r="AU24" s="52">
        <f t="shared" si="12"/>
        <v>0</v>
      </c>
      <c r="AV24" s="51"/>
      <c r="AW24" s="7"/>
      <c r="AX24" s="7"/>
      <c r="AY24" s="52">
        <f t="shared" si="13"/>
        <v>0</v>
      </c>
      <c r="AZ24" s="51"/>
      <c r="BA24" s="53">
        <f t="shared" si="16"/>
        <v>0</v>
      </c>
      <c r="BB24" s="7">
        <f t="shared" si="17"/>
        <v>0</v>
      </c>
      <c r="BC24" s="52">
        <f t="shared" si="14"/>
        <v>0</v>
      </c>
    </row>
    <row r="25" spans="1:55" ht="14.25">
      <c r="A25" s="537" t="s">
        <v>819</v>
      </c>
      <c r="B25" s="551" t="s">
        <v>538</v>
      </c>
      <c r="C25" s="56"/>
      <c r="D25" s="49"/>
      <c r="E25" s="7"/>
      <c r="F25" s="7"/>
      <c r="G25" s="50">
        <f t="shared" si="15"/>
        <v>0</v>
      </c>
      <c r="H25" s="51"/>
      <c r="I25" s="7"/>
      <c r="J25" s="7"/>
      <c r="K25" s="52">
        <f t="shared" si="3"/>
        <v>0</v>
      </c>
      <c r="L25" s="51"/>
      <c r="M25" s="7"/>
      <c r="N25" s="7"/>
      <c r="O25" s="52">
        <f t="shared" si="4"/>
        <v>0</v>
      </c>
      <c r="P25" s="51"/>
      <c r="Q25" s="7"/>
      <c r="R25" s="7"/>
      <c r="S25" s="52">
        <f t="shared" si="5"/>
        <v>0</v>
      </c>
      <c r="T25" s="51"/>
      <c r="U25" s="7"/>
      <c r="V25" s="7"/>
      <c r="W25" s="52">
        <f t="shared" si="6"/>
        <v>0</v>
      </c>
      <c r="X25" s="51"/>
      <c r="Y25" s="7"/>
      <c r="Z25" s="7"/>
      <c r="AA25" s="52">
        <f t="shared" si="7"/>
        <v>0</v>
      </c>
      <c r="AB25" s="51"/>
      <c r="AC25" s="7"/>
      <c r="AD25" s="7"/>
      <c r="AE25" s="52">
        <f t="shared" si="8"/>
        <v>0</v>
      </c>
      <c r="AF25" s="51"/>
      <c r="AG25" s="7"/>
      <c r="AH25" s="7"/>
      <c r="AI25" s="52">
        <f t="shared" si="9"/>
        <v>0</v>
      </c>
      <c r="AJ25" s="51"/>
      <c r="AK25" s="7"/>
      <c r="AL25" s="7"/>
      <c r="AM25" s="52">
        <f t="shared" si="10"/>
        <v>0</v>
      </c>
      <c r="AN25" s="51"/>
      <c r="AO25" s="7"/>
      <c r="AP25" s="7"/>
      <c r="AQ25" s="52">
        <f t="shared" si="11"/>
        <v>0</v>
      </c>
      <c r="AR25" s="51"/>
      <c r="AS25" s="7"/>
      <c r="AT25" s="7"/>
      <c r="AU25" s="52">
        <f t="shared" si="12"/>
        <v>0</v>
      </c>
      <c r="AV25" s="51"/>
      <c r="AW25" s="7"/>
      <c r="AX25" s="7"/>
      <c r="AY25" s="52">
        <f t="shared" si="13"/>
        <v>0</v>
      </c>
      <c r="AZ25" s="51"/>
      <c r="BA25" s="53">
        <f t="shared" si="16"/>
        <v>0</v>
      </c>
      <c r="BB25" s="7">
        <f t="shared" si="17"/>
        <v>0</v>
      </c>
      <c r="BC25" s="52">
        <f t="shared" si="14"/>
        <v>0</v>
      </c>
    </row>
    <row r="26" spans="1:55" ht="14.25">
      <c r="A26" s="537" t="s">
        <v>821</v>
      </c>
      <c r="B26" s="551" t="s">
        <v>592</v>
      </c>
      <c r="C26" s="56"/>
      <c r="D26" s="49">
        <v>177377</v>
      </c>
      <c r="E26" s="7"/>
      <c r="F26" s="7"/>
      <c r="G26" s="50">
        <f t="shared" si="15"/>
        <v>177377</v>
      </c>
      <c r="H26" s="51"/>
      <c r="I26" s="7"/>
      <c r="J26" s="7"/>
      <c r="K26" s="52">
        <f t="shared" si="3"/>
        <v>177377</v>
      </c>
      <c r="L26" s="51"/>
      <c r="M26" s="7"/>
      <c r="N26" s="7"/>
      <c r="O26" s="52">
        <f t="shared" si="4"/>
        <v>177377</v>
      </c>
      <c r="P26" s="51"/>
      <c r="Q26" s="7"/>
      <c r="R26" s="7"/>
      <c r="S26" s="52">
        <f t="shared" si="5"/>
        <v>177377</v>
      </c>
      <c r="T26" s="51"/>
      <c r="U26" s="7"/>
      <c r="V26" s="7"/>
      <c r="W26" s="52">
        <f t="shared" si="6"/>
        <v>177377</v>
      </c>
      <c r="X26" s="51"/>
      <c r="Y26" s="7"/>
      <c r="Z26" s="7"/>
      <c r="AA26" s="52">
        <f t="shared" si="7"/>
        <v>177377</v>
      </c>
      <c r="AB26" s="51"/>
      <c r="AC26" s="7"/>
      <c r="AD26" s="7"/>
      <c r="AE26" s="52">
        <f t="shared" si="8"/>
        <v>177377</v>
      </c>
      <c r="AF26" s="51"/>
      <c r="AG26" s="7"/>
      <c r="AH26" s="7"/>
      <c r="AI26" s="52">
        <f t="shared" si="9"/>
        <v>177377</v>
      </c>
      <c r="AJ26" s="51"/>
      <c r="AK26" s="7"/>
      <c r="AL26" s="7"/>
      <c r="AM26" s="52">
        <f t="shared" si="10"/>
        <v>177377</v>
      </c>
      <c r="AN26" s="51"/>
      <c r="AO26" s="7"/>
      <c r="AP26" s="7"/>
      <c r="AQ26" s="52">
        <f t="shared" si="11"/>
        <v>177377</v>
      </c>
      <c r="AR26" s="51"/>
      <c r="AS26" s="7"/>
      <c r="AT26" s="7"/>
      <c r="AU26" s="52">
        <f t="shared" si="12"/>
        <v>177377</v>
      </c>
      <c r="AV26" s="51"/>
      <c r="AW26" s="7"/>
      <c r="AX26" s="7"/>
      <c r="AY26" s="52">
        <f t="shared" si="13"/>
        <v>177377</v>
      </c>
      <c r="AZ26" s="51"/>
      <c r="BA26" s="53">
        <f t="shared" si="16"/>
        <v>0</v>
      </c>
      <c r="BB26" s="7">
        <f t="shared" si="17"/>
        <v>0</v>
      </c>
      <c r="BC26" s="52">
        <f t="shared" si="14"/>
        <v>177377</v>
      </c>
    </row>
    <row r="27" spans="1:55" ht="14.25">
      <c r="A27" s="537" t="s">
        <v>823</v>
      </c>
      <c r="B27" s="551" t="s">
        <v>48</v>
      </c>
      <c r="C27" s="56"/>
      <c r="D27" s="49">
        <v>6028070.72</v>
      </c>
      <c r="E27" s="7"/>
      <c r="F27" s="7"/>
      <c r="G27" s="50">
        <f t="shared" si="15"/>
        <v>6028070.72</v>
      </c>
      <c r="H27" s="51"/>
      <c r="I27" s="7"/>
      <c r="J27" s="7"/>
      <c r="K27" s="52">
        <f t="shared" si="3"/>
        <v>6028070.72</v>
      </c>
      <c r="L27" s="51"/>
      <c r="M27" s="7"/>
      <c r="N27" s="7"/>
      <c r="O27" s="52">
        <f t="shared" si="4"/>
        <v>6028070.72</v>
      </c>
      <c r="P27" s="51"/>
      <c r="Q27" s="7"/>
      <c r="R27" s="7"/>
      <c r="S27" s="52">
        <f t="shared" si="5"/>
        <v>6028070.72</v>
      </c>
      <c r="T27" s="51"/>
      <c r="U27" s="7"/>
      <c r="V27" s="7"/>
      <c r="W27" s="52">
        <f t="shared" si="6"/>
        <v>6028070.72</v>
      </c>
      <c r="X27" s="51"/>
      <c r="Y27" s="7"/>
      <c r="Z27" s="7"/>
      <c r="AA27" s="52">
        <f t="shared" si="7"/>
        <v>6028070.72</v>
      </c>
      <c r="AB27" s="51"/>
      <c r="AC27" s="7"/>
      <c r="AD27" s="7"/>
      <c r="AE27" s="52">
        <f t="shared" si="8"/>
        <v>6028070.72</v>
      </c>
      <c r="AF27" s="51"/>
      <c r="AG27" s="7"/>
      <c r="AH27" s="7"/>
      <c r="AI27" s="52">
        <f t="shared" si="9"/>
        <v>6028070.72</v>
      </c>
      <c r="AJ27" s="51"/>
      <c r="AK27" s="7"/>
      <c r="AL27" s="7"/>
      <c r="AM27" s="52">
        <f t="shared" si="10"/>
        <v>6028070.72</v>
      </c>
      <c r="AN27" s="51"/>
      <c r="AO27" s="7"/>
      <c r="AP27" s="7"/>
      <c r="AQ27" s="52">
        <f t="shared" si="11"/>
        <v>6028070.72</v>
      </c>
      <c r="AR27" s="51"/>
      <c r="AS27" s="7"/>
      <c r="AT27" s="7"/>
      <c r="AU27" s="52">
        <f t="shared" si="12"/>
        <v>6028070.72</v>
      </c>
      <c r="AV27" s="51"/>
      <c r="AW27" s="7"/>
      <c r="AX27" s="7"/>
      <c r="AY27" s="52">
        <f t="shared" si="13"/>
        <v>6028070.72</v>
      </c>
      <c r="AZ27" s="51"/>
      <c r="BA27" s="53">
        <f t="shared" si="16"/>
        <v>0</v>
      </c>
      <c r="BB27" s="7">
        <f t="shared" si="17"/>
        <v>0</v>
      </c>
      <c r="BC27" s="52">
        <f t="shared" si="14"/>
        <v>6028070.72</v>
      </c>
    </row>
    <row r="28" spans="1:55" ht="14.25">
      <c r="A28" s="537" t="s">
        <v>825</v>
      </c>
      <c r="B28" s="678" t="s">
        <v>49</v>
      </c>
      <c r="C28" s="56"/>
      <c r="D28" s="49"/>
      <c r="E28" s="7"/>
      <c r="F28" s="7"/>
      <c r="G28" s="546">
        <f>D28+F28-E28</f>
        <v>0</v>
      </c>
      <c r="H28" s="51"/>
      <c r="I28" s="7"/>
      <c r="J28" s="7"/>
      <c r="K28" s="549">
        <f>G28+J28-I28</f>
        <v>0</v>
      </c>
      <c r="L28" s="51"/>
      <c r="M28" s="7"/>
      <c r="N28" s="7"/>
      <c r="O28" s="549">
        <f>K28+N28-M28</f>
        <v>0</v>
      </c>
      <c r="P28" s="51"/>
      <c r="Q28" s="7"/>
      <c r="R28" s="7"/>
      <c r="S28" s="549">
        <f>O28+R28-Q28</f>
        <v>0</v>
      </c>
      <c r="T28" s="51"/>
      <c r="U28" s="7"/>
      <c r="V28" s="7"/>
      <c r="W28" s="549">
        <f>S28+V28-U28</f>
        <v>0</v>
      </c>
      <c r="X28" s="51"/>
      <c r="Y28" s="7"/>
      <c r="Z28" s="7"/>
      <c r="AA28" s="549">
        <f>W28+Z28-Y28</f>
        <v>0</v>
      </c>
      <c r="AB28" s="51"/>
      <c r="AC28" s="7"/>
      <c r="AD28" s="7"/>
      <c r="AE28" s="549">
        <f>AA28+AD28-AC28</f>
        <v>0</v>
      </c>
      <c r="AF28" s="51"/>
      <c r="AG28" s="7"/>
      <c r="AH28" s="7"/>
      <c r="AI28" s="549">
        <f>AE28+AH28-AG28</f>
        <v>0</v>
      </c>
      <c r="AJ28" s="51"/>
      <c r="AK28" s="7"/>
      <c r="AL28" s="7"/>
      <c r="AM28" s="549">
        <f>AI28+AL28-AK28</f>
        <v>0</v>
      </c>
      <c r="AN28" s="51"/>
      <c r="AO28" s="7"/>
      <c r="AP28" s="7"/>
      <c r="AQ28" s="549">
        <f>AM28+AP28-AO28</f>
        <v>0</v>
      </c>
      <c r="AR28" s="51"/>
      <c r="AS28" s="7"/>
      <c r="AT28" s="7"/>
      <c r="AU28" s="549">
        <f>AQ28+AT28-AS28</f>
        <v>0</v>
      </c>
      <c r="AV28" s="51"/>
      <c r="AW28" s="7"/>
      <c r="AX28" s="7"/>
      <c r="AY28" s="549">
        <f>AU28+AX28-AW28</f>
        <v>0</v>
      </c>
      <c r="AZ28" s="51"/>
      <c r="BA28" s="53">
        <f t="shared" si="16"/>
        <v>0</v>
      </c>
      <c r="BB28" s="7">
        <f t="shared" si="17"/>
        <v>0</v>
      </c>
      <c r="BC28" s="549">
        <f>D28+BB28-BA28</f>
        <v>0</v>
      </c>
    </row>
    <row r="29" spans="1:55" ht="14.25">
      <c r="A29" s="537" t="s">
        <v>827</v>
      </c>
      <c r="B29" s="551" t="s">
        <v>539</v>
      </c>
      <c r="C29" s="56"/>
      <c r="D29" s="49"/>
      <c r="E29" s="7"/>
      <c r="F29" s="7"/>
      <c r="G29" s="50">
        <f t="shared" si="15"/>
        <v>0</v>
      </c>
      <c r="H29" s="51"/>
      <c r="I29" s="7"/>
      <c r="J29" s="7"/>
      <c r="K29" s="52">
        <f t="shared" si="3"/>
        <v>0</v>
      </c>
      <c r="L29" s="51"/>
      <c r="M29" s="7"/>
      <c r="N29" s="7"/>
      <c r="O29" s="52">
        <f t="shared" si="4"/>
        <v>0</v>
      </c>
      <c r="P29" s="51"/>
      <c r="Q29" s="7"/>
      <c r="R29" s="7"/>
      <c r="S29" s="52">
        <f t="shared" si="5"/>
        <v>0</v>
      </c>
      <c r="T29" s="51"/>
      <c r="U29" s="7"/>
      <c r="V29" s="7"/>
      <c r="W29" s="52">
        <f t="shared" si="6"/>
        <v>0</v>
      </c>
      <c r="X29" s="51"/>
      <c r="Y29" s="7"/>
      <c r="Z29" s="7"/>
      <c r="AA29" s="52">
        <f t="shared" si="7"/>
        <v>0</v>
      </c>
      <c r="AB29" s="51"/>
      <c r="AC29" s="7"/>
      <c r="AD29" s="7"/>
      <c r="AE29" s="52">
        <f t="shared" si="8"/>
        <v>0</v>
      </c>
      <c r="AF29" s="51"/>
      <c r="AG29" s="7"/>
      <c r="AH29" s="7"/>
      <c r="AI29" s="52">
        <f t="shared" si="9"/>
        <v>0</v>
      </c>
      <c r="AJ29" s="51"/>
      <c r="AK29" s="7"/>
      <c r="AL29" s="7"/>
      <c r="AM29" s="52">
        <f t="shared" si="10"/>
        <v>0</v>
      </c>
      <c r="AN29" s="51"/>
      <c r="AO29" s="7"/>
      <c r="AP29" s="7"/>
      <c r="AQ29" s="52">
        <f t="shared" si="11"/>
        <v>0</v>
      </c>
      <c r="AR29" s="51"/>
      <c r="AS29" s="7"/>
      <c r="AT29" s="7"/>
      <c r="AU29" s="52">
        <f t="shared" si="12"/>
        <v>0</v>
      </c>
      <c r="AV29" s="51"/>
      <c r="AW29" s="7"/>
      <c r="AX29" s="7"/>
      <c r="AY29" s="52">
        <f t="shared" si="13"/>
        <v>0</v>
      </c>
      <c r="AZ29" s="51"/>
      <c r="BA29" s="53">
        <f t="shared" si="16"/>
        <v>0</v>
      </c>
      <c r="BB29" s="7">
        <f t="shared" si="17"/>
        <v>0</v>
      </c>
      <c r="BC29" s="52">
        <f t="shared" si="14"/>
        <v>0</v>
      </c>
    </row>
    <row r="30" spans="1:55" ht="15">
      <c r="A30" s="537" t="s">
        <v>829</v>
      </c>
      <c r="B30" s="551" t="s">
        <v>540</v>
      </c>
      <c r="C30" s="54"/>
      <c r="D30" s="49"/>
      <c r="E30" s="7"/>
      <c r="F30" s="7"/>
      <c r="G30" s="50">
        <f t="shared" si="15"/>
        <v>0</v>
      </c>
      <c r="H30" s="51"/>
      <c r="I30" s="7"/>
      <c r="J30" s="7"/>
      <c r="K30" s="52">
        <f t="shared" si="3"/>
        <v>0</v>
      </c>
      <c r="L30" s="51"/>
      <c r="M30" s="7"/>
      <c r="N30" s="7"/>
      <c r="O30" s="52">
        <f t="shared" si="4"/>
        <v>0</v>
      </c>
      <c r="P30" s="51"/>
      <c r="Q30" s="7"/>
      <c r="R30" s="7"/>
      <c r="S30" s="52">
        <f t="shared" si="5"/>
        <v>0</v>
      </c>
      <c r="T30" s="51"/>
      <c r="U30" s="7"/>
      <c r="V30" s="7"/>
      <c r="W30" s="52">
        <f t="shared" si="6"/>
        <v>0</v>
      </c>
      <c r="X30" s="51"/>
      <c r="Y30" s="7"/>
      <c r="Z30" s="7"/>
      <c r="AA30" s="52">
        <f t="shared" si="7"/>
        <v>0</v>
      </c>
      <c r="AB30" s="51"/>
      <c r="AC30" s="7"/>
      <c r="AD30" s="7"/>
      <c r="AE30" s="52">
        <f t="shared" si="8"/>
        <v>0</v>
      </c>
      <c r="AF30" s="51"/>
      <c r="AG30" s="7"/>
      <c r="AH30" s="7"/>
      <c r="AI30" s="52">
        <f t="shared" si="9"/>
        <v>0</v>
      </c>
      <c r="AJ30" s="51"/>
      <c r="AK30" s="7"/>
      <c r="AL30" s="7"/>
      <c r="AM30" s="52">
        <f t="shared" si="10"/>
        <v>0</v>
      </c>
      <c r="AN30" s="51"/>
      <c r="AO30" s="7"/>
      <c r="AP30" s="7"/>
      <c r="AQ30" s="52">
        <f t="shared" si="11"/>
        <v>0</v>
      </c>
      <c r="AR30" s="51"/>
      <c r="AS30" s="7"/>
      <c r="AT30" s="7"/>
      <c r="AU30" s="52">
        <f t="shared" si="12"/>
        <v>0</v>
      </c>
      <c r="AV30" s="51"/>
      <c r="AW30" s="7"/>
      <c r="AX30" s="7"/>
      <c r="AY30" s="52">
        <f t="shared" si="13"/>
        <v>0</v>
      </c>
      <c r="AZ30" s="51"/>
      <c r="BA30" s="53">
        <f t="shared" si="16"/>
        <v>0</v>
      </c>
      <c r="BB30" s="7">
        <f t="shared" si="17"/>
        <v>0</v>
      </c>
      <c r="BC30" s="52">
        <f t="shared" si="14"/>
        <v>0</v>
      </c>
    </row>
    <row r="31" spans="1:55" ht="14.25">
      <c r="A31" s="537" t="s">
        <v>831</v>
      </c>
      <c r="B31" s="551" t="s">
        <v>726</v>
      </c>
      <c r="C31" s="55"/>
      <c r="D31" s="49">
        <v>65314.21</v>
      </c>
      <c r="E31" s="7"/>
      <c r="F31" s="7"/>
      <c r="G31" s="50">
        <f t="shared" si="15"/>
        <v>65314.21</v>
      </c>
      <c r="H31" s="51"/>
      <c r="I31" s="7"/>
      <c r="J31" s="7"/>
      <c r="K31" s="52">
        <f t="shared" si="3"/>
        <v>65314.21</v>
      </c>
      <c r="L31" s="51"/>
      <c r="M31" s="7"/>
      <c r="N31" s="7"/>
      <c r="O31" s="52">
        <f t="shared" si="4"/>
        <v>65314.21</v>
      </c>
      <c r="P31" s="51"/>
      <c r="Q31" s="7"/>
      <c r="R31" s="7"/>
      <c r="S31" s="52">
        <f t="shared" si="5"/>
        <v>65314.21</v>
      </c>
      <c r="T31" s="51"/>
      <c r="U31" s="7"/>
      <c r="V31" s="7"/>
      <c r="W31" s="52">
        <f t="shared" si="6"/>
        <v>65314.21</v>
      </c>
      <c r="X31" s="51"/>
      <c r="Y31" s="7"/>
      <c r="Z31" s="7"/>
      <c r="AA31" s="52">
        <f t="shared" si="7"/>
        <v>65314.21</v>
      </c>
      <c r="AB31" s="51"/>
      <c r="AC31" s="7"/>
      <c r="AD31" s="7"/>
      <c r="AE31" s="52">
        <f t="shared" si="8"/>
        <v>65314.21</v>
      </c>
      <c r="AF31" s="51"/>
      <c r="AG31" s="7"/>
      <c r="AH31" s="7"/>
      <c r="AI31" s="52">
        <f t="shared" si="9"/>
        <v>65314.21</v>
      </c>
      <c r="AJ31" s="51"/>
      <c r="AK31" s="7"/>
      <c r="AL31" s="7"/>
      <c r="AM31" s="52">
        <f t="shared" si="10"/>
        <v>65314.21</v>
      </c>
      <c r="AN31" s="51"/>
      <c r="AO31" s="7"/>
      <c r="AP31" s="7"/>
      <c r="AQ31" s="52">
        <f t="shared" si="11"/>
        <v>65314.21</v>
      </c>
      <c r="AR31" s="51"/>
      <c r="AS31" s="7"/>
      <c r="AT31" s="7"/>
      <c r="AU31" s="52">
        <f t="shared" si="12"/>
        <v>65314.21</v>
      </c>
      <c r="AV31" s="51"/>
      <c r="AW31" s="7"/>
      <c r="AX31" s="7"/>
      <c r="AY31" s="52">
        <f t="shared" si="13"/>
        <v>65314.21</v>
      </c>
      <c r="AZ31" s="51"/>
      <c r="BA31" s="53">
        <f t="shared" si="16"/>
        <v>0</v>
      </c>
      <c r="BB31" s="7">
        <f t="shared" si="17"/>
        <v>0</v>
      </c>
      <c r="BC31" s="52">
        <f t="shared" si="14"/>
        <v>65314.21</v>
      </c>
    </row>
    <row r="32" spans="1:55" ht="15">
      <c r="A32" s="537">
        <v>124300</v>
      </c>
      <c r="B32" s="551" t="s">
        <v>734</v>
      </c>
      <c r="C32" s="54"/>
      <c r="D32" s="49"/>
      <c r="E32" s="7"/>
      <c r="F32" s="7"/>
      <c r="G32" s="50">
        <f t="shared" si="15"/>
        <v>0</v>
      </c>
      <c r="H32" s="51"/>
      <c r="I32" s="7"/>
      <c r="J32" s="7"/>
      <c r="K32" s="52">
        <f t="shared" si="3"/>
        <v>0</v>
      </c>
      <c r="L32" s="51"/>
      <c r="M32" s="7"/>
      <c r="N32" s="7"/>
      <c r="O32" s="52">
        <f t="shared" si="4"/>
        <v>0</v>
      </c>
      <c r="P32" s="51"/>
      <c r="Q32" s="7"/>
      <c r="R32" s="7"/>
      <c r="S32" s="52">
        <f t="shared" si="5"/>
        <v>0</v>
      </c>
      <c r="T32" s="51"/>
      <c r="U32" s="7"/>
      <c r="V32" s="7"/>
      <c r="W32" s="52">
        <f t="shared" si="6"/>
        <v>0</v>
      </c>
      <c r="X32" s="51"/>
      <c r="Y32" s="7"/>
      <c r="Z32" s="7"/>
      <c r="AA32" s="52">
        <f t="shared" si="7"/>
        <v>0</v>
      </c>
      <c r="AB32" s="51"/>
      <c r="AC32" s="7"/>
      <c r="AD32" s="7"/>
      <c r="AE32" s="52">
        <f t="shared" si="8"/>
        <v>0</v>
      </c>
      <c r="AF32" s="51"/>
      <c r="AG32" s="7"/>
      <c r="AH32" s="7"/>
      <c r="AI32" s="52">
        <f t="shared" si="9"/>
        <v>0</v>
      </c>
      <c r="AJ32" s="51"/>
      <c r="AK32" s="7"/>
      <c r="AL32" s="7"/>
      <c r="AM32" s="52">
        <f t="shared" si="10"/>
        <v>0</v>
      </c>
      <c r="AN32" s="51"/>
      <c r="AO32" s="7"/>
      <c r="AP32" s="7"/>
      <c r="AQ32" s="52">
        <f t="shared" si="11"/>
        <v>0</v>
      </c>
      <c r="AR32" s="51"/>
      <c r="AS32" s="7"/>
      <c r="AT32" s="7"/>
      <c r="AU32" s="52">
        <f t="shared" si="12"/>
        <v>0</v>
      </c>
      <c r="AV32" s="51"/>
      <c r="AW32" s="7"/>
      <c r="AX32" s="7"/>
      <c r="AY32" s="52">
        <f t="shared" si="13"/>
        <v>0</v>
      </c>
      <c r="AZ32" s="51"/>
      <c r="BA32" s="53">
        <f t="shared" si="16"/>
        <v>0</v>
      </c>
      <c r="BB32" s="7">
        <f t="shared" si="17"/>
        <v>0</v>
      </c>
      <c r="BC32" s="52">
        <f t="shared" si="14"/>
        <v>0</v>
      </c>
    </row>
    <row r="33" spans="1:55" ht="15">
      <c r="A33" s="537" t="s">
        <v>833</v>
      </c>
      <c r="B33" s="551" t="s">
        <v>738</v>
      </c>
      <c r="C33" s="54"/>
      <c r="D33" s="49"/>
      <c r="E33" s="7"/>
      <c r="F33" s="7"/>
      <c r="G33" s="50">
        <f t="shared" si="15"/>
        <v>0</v>
      </c>
      <c r="H33" s="51"/>
      <c r="I33" s="7"/>
      <c r="J33" s="7"/>
      <c r="K33" s="52">
        <f t="shared" si="3"/>
        <v>0</v>
      </c>
      <c r="L33" s="51"/>
      <c r="M33" s="7"/>
      <c r="N33" s="7"/>
      <c r="O33" s="52">
        <f t="shared" si="4"/>
        <v>0</v>
      </c>
      <c r="P33" s="51"/>
      <c r="Q33" s="7"/>
      <c r="R33" s="7"/>
      <c r="S33" s="52">
        <f t="shared" si="5"/>
        <v>0</v>
      </c>
      <c r="T33" s="51"/>
      <c r="U33" s="7"/>
      <c r="V33" s="7"/>
      <c r="W33" s="52">
        <f t="shared" si="6"/>
        <v>0</v>
      </c>
      <c r="X33" s="51"/>
      <c r="Y33" s="7"/>
      <c r="Z33" s="7"/>
      <c r="AA33" s="52">
        <f t="shared" si="7"/>
        <v>0</v>
      </c>
      <c r="AB33" s="51"/>
      <c r="AC33" s="7"/>
      <c r="AD33" s="7"/>
      <c r="AE33" s="52">
        <f t="shared" si="8"/>
        <v>0</v>
      </c>
      <c r="AF33" s="51"/>
      <c r="AG33" s="7"/>
      <c r="AH33" s="7"/>
      <c r="AI33" s="52">
        <f t="shared" si="9"/>
        <v>0</v>
      </c>
      <c r="AJ33" s="51"/>
      <c r="AK33" s="7"/>
      <c r="AL33" s="7"/>
      <c r="AM33" s="52">
        <f t="shared" si="10"/>
        <v>0</v>
      </c>
      <c r="AN33" s="51"/>
      <c r="AO33" s="7"/>
      <c r="AP33" s="7"/>
      <c r="AQ33" s="52">
        <f t="shared" si="11"/>
        <v>0</v>
      </c>
      <c r="AR33" s="51"/>
      <c r="AS33" s="7"/>
      <c r="AT33" s="7"/>
      <c r="AU33" s="52">
        <f t="shared" si="12"/>
        <v>0</v>
      </c>
      <c r="AV33" s="51"/>
      <c r="AW33" s="7"/>
      <c r="AX33" s="7"/>
      <c r="AY33" s="52">
        <f t="shared" si="13"/>
        <v>0</v>
      </c>
      <c r="AZ33" s="51"/>
      <c r="BA33" s="53">
        <f t="shared" si="16"/>
        <v>0</v>
      </c>
      <c r="BB33" s="7">
        <f t="shared" si="17"/>
        <v>0</v>
      </c>
      <c r="BC33" s="52">
        <f t="shared" si="14"/>
        <v>0</v>
      </c>
    </row>
    <row r="34" spans="1:55" ht="15">
      <c r="A34" s="537" t="s">
        <v>835</v>
      </c>
      <c r="B34" s="551" t="s">
        <v>50</v>
      </c>
      <c r="C34" s="54"/>
      <c r="D34" s="49"/>
      <c r="E34" s="7"/>
      <c r="F34" s="7"/>
      <c r="G34" s="50">
        <f t="shared" si="15"/>
        <v>0</v>
      </c>
      <c r="H34" s="51"/>
      <c r="I34" s="7"/>
      <c r="J34" s="7"/>
      <c r="K34" s="52">
        <f t="shared" si="3"/>
        <v>0</v>
      </c>
      <c r="L34" s="51"/>
      <c r="M34" s="7"/>
      <c r="N34" s="7"/>
      <c r="O34" s="52">
        <f t="shared" si="4"/>
        <v>0</v>
      </c>
      <c r="P34" s="51"/>
      <c r="Q34" s="7"/>
      <c r="R34" s="7"/>
      <c r="S34" s="52">
        <f t="shared" si="5"/>
        <v>0</v>
      </c>
      <c r="T34" s="51"/>
      <c r="U34" s="7"/>
      <c r="V34" s="7"/>
      <c r="W34" s="52">
        <f t="shared" si="6"/>
        <v>0</v>
      </c>
      <c r="X34" s="51"/>
      <c r="Y34" s="7"/>
      <c r="Z34" s="7"/>
      <c r="AA34" s="52">
        <f t="shared" si="7"/>
        <v>0</v>
      </c>
      <c r="AB34" s="51"/>
      <c r="AC34" s="7"/>
      <c r="AD34" s="7"/>
      <c r="AE34" s="52">
        <f t="shared" si="8"/>
        <v>0</v>
      </c>
      <c r="AF34" s="51"/>
      <c r="AG34" s="7"/>
      <c r="AH34" s="7"/>
      <c r="AI34" s="52">
        <f t="shared" si="9"/>
        <v>0</v>
      </c>
      <c r="AJ34" s="51"/>
      <c r="AK34" s="7"/>
      <c r="AL34" s="7"/>
      <c r="AM34" s="52">
        <f t="shared" si="10"/>
        <v>0</v>
      </c>
      <c r="AN34" s="51"/>
      <c r="AO34" s="7"/>
      <c r="AP34" s="7"/>
      <c r="AQ34" s="52">
        <f t="shared" si="11"/>
        <v>0</v>
      </c>
      <c r="AR34" s="51"/>
      <c r="AS34" s="7"/>
      <c r="AT34" s="7"/>
      <c r="AU34" s="52">
        <f t="shared" si="12"/>
        <v>0</v>
      </c>
      <c r="AV34" s="51"/>
      <c r="AW34" s="7"/>
      <c r="AX34" s="7"/>
      <c r="AY34" s="52">
        <f t="shared" si="13"/>
        <v>0</v>
      </c>
      <c r="AZ34" s="51"/>
      <c r="BA34" s="53">
        <f t="shared" si="16"/>
        <v>0</v>
      </c>
      <c r="BB34" s="7">
        <f t="shared" si="17"/>
        <v>0</v>
      </c>
      <c r="BC34" s="52">
        <f t="shared" si="14"/>
        <v>0</v>
      </c>
    </row>
    <row r="35" spans="1:55" ht="14.25">
      <c r="A35" s="537" t="s">
        <v>837</v>
      </c>
      <c r="B35" s="551" t="s">
        <v>743</v>
      </c>
      <c r="C35" s="56"/>
      <c r="D35" s="49"/>
      <c r="E35" s="7"/>
      <c r="F35" s="7"/>
      <c r="G35" s="50">
        <f t="shared" si="15"/>
        <v>0</v>
      </c>
      <c r="H35" s="51"/>
      <c r="I35" s="7"/>
      <c r="J35" s="7"/>
      <c r="K35" s="52">
        <f t="shared" si="3"/>
        <v>0</v>
      </c>
      <c r="L35" s="51"/>
      <c r="M35" s="7"/>
      <c r="N35" s="7"/>
      <c r="O35" s="52">
        <f t="shared" si="4"/>
        <v>0</v>
      </c>
      <c r="P35" s="51"/>
      <c r="Q35" s="7"/>
      <c r="R35" s="7"/>
      <c r="S35" s="52">
        <f t="shared" si="5"/>
        <v>0</v>
      </c>
      <c r="T35" s="51"/>
      <c r="U35" s="7"/>
      <c r="V35" s="7"/>
      <c r="W35" s="52">
        <f t="shared" si="6"/>
        <v>0</v>
      </c>
      <c r="X35" s="51"/>
      <c r="Y35" s="7"/>
      <c r="Z35" s="7"/>
      <c r="AA35" s="52">
        <f t="shared" si="7"/>
        <v>0</v>
      </c>
      <c r="AB35" s="51"/>
      <c r="AC35" s="7"/>
      <c r="AD35" s="7"/>
      <c r="AE35" s="52">
        <f t="shared" si="8"/>
        <v>0</v>
      </c>
      <c r="AF35" s="51"/>
      <c r="AG35" s="7"/>
      <c r="AH35" s="7"/>
      <c r="AI35" s="52">
        <f t="shared" si="9"/>
        <v>0</v>
      </c>
      <c r="AJ35" s="51"/>
      <c r="AK35" s="7"/>
      <c r="AL35" s="7"/>
      <c r="AM35" s="52">
        <f t="shared" si="10"/>
        <v>0</v>
      </c>
      <c r="AN35" s="51"/>
      <c r="AO35" s="7"/>
      <c r="AP35" s="7"/>
      <c r="AQ35" s="52">
        <f t="shared" si="11"/>
        <v>0</v>
      </c>
      <c r="AR35" s="51"/>
      <c r="AS35" s="7"/>
      <c r="AT35" s="7"/>
      <c r="AU35" s="52">
        <f t="shared" si="12"/>
        <v>0</v>
      </c>
      <c r="AV35" s="51"/>
      <c r="AW35" s="7"/>
      <c r="AX35" s="7"/>
      <c r="AY35" s="52">
        <f t="shared" si="13"/>
        <v>0</v>
      </c>
      <c r="AZ35" s="51"/>
      <c r="BA35" s="53">
        <f t="shared" si="16"/>
        <v>0</v>
      </c>
      <c r="BB35" s="7">
        <f t="shared" si="17"/>
        <v>0</v>
      </c>
      <c r="BC35" s="52">
        <f t="shared" si="14"/>
        <v>0</v>
      </c>
    </row>
    <row r="36" spans="1:55" ht="14.25">
      <c r="A36" s="537" t="s">
        <v>839</v>
      </c>
      <c r="B36" s="678" t="s">
        <v>723</v>
      </c>
      <c r="C36" s="56"/>
      <c r="D36" s="49"/>
      <c r="E36" s="7"/>
      <c r="F36" s="7"/>
      <c r="G36" s="546">
        <f>D36+F36-E36</f>
        <v>0</v>
      </c>
      <c r="H36" s="51"/>
      <c r="I36" s="7"/>
      <c r="J36" s="7"/>
      <c r="K36" s="549">
        <f>G36+J36-I36</f>
        <v>0</v>
      </c>
      <c r="L36" s="51"/>
      <c r="M36" s="7"/>
      <c r="N36" s="7"/>
      <c r="O36" s="549">
        <f>K36+N36-M36</f>
        <v>0</v>
      </c>
      <c r="P36" s="51"/>
      <c r="Q36" s="7"/>
      <c r="R36" s="7"/>
      <c r="S36" s="549">
        <f>O36+R36-Q36</f>
        <v>0</v>
      </c>
      <c r="T36" s="51"/>
      <c r="U36" s="7"/>
      <c r="V36" s="7"/>
      <c r="W36" s="549">
        <f>S36+V36-U36</f>
        <v>0</v>
      </c>
      <c r="X36" s="51"/>
      <c r="Y36" s="7"/>
      <c r="Z36" s="7"/>
      <c r="AA36" s="549">
        <f>W36+Z36-Y36</f>
        <v>0</v>
      </c>
      <c r="AB36" s="51"/>
      <c r="AC36" s="7"/>
      <c r="AD36" s="7"/>
      <c r="AE36" s="549">
        <f>AA36+AD36-AC36</f>
        <v>0</v>
      </c>
      <c r="AF36" s="51"/>
      <c r="AG36" s="7"/>
      <c r="AH36" s="7"/>
      <c r="AI36" s="549">
        <f>AE36+AH36-AG36</f>
        <v>0</v>
      </c>
      <c r="AJ36" s="51"/>
      <c r="AK36" s="7"/>
      <c r="AL36" s="7"/>
      <c r="AM36" s="549">
        <f>AI36+AL36-AK36</f>
        <v>0</v>
      </c>
      <c r="AN36" s="51"/>
      <c r="AO36" s="7"/>
      <c r="AP36" s="7"/>
      <c r="AQ36" s="549">
        <f>AM36+AP36-AO36</f>
        <v>0</v>
      </c>
      <c r="AR36" s="51"/>
      <c r="AS36" s="7"/>
      <c r="AT36" s="7"/>
      <c r="AU36" s="549">
        <f>AQ36+AT36-AS36</f>
        <v>0</v>
      </c>
      <c r="AV36" s="51"/>
      <c r="AW36" s="7"/>
      <c r="AX36" s="7"/>
      <c r="AY36" s="549">
        <f>AU36+AX36-AW36</f>
        <v>0</v>
      </c>
      <c r="AZ36" s="51"/>
      <c r="BA36" s="53">
        <f t="shared" si="16"/>
        <v>0</v>
      </c>
      <c r="BB36" s="7">
        <f t="shared" si="17"/>
        <v>0</v>
      </c>
      <c r="BC36" s="549">
        <f>D36+BB36-BA36</f>
        <v>0</v>
      </c>
    </row>
    <row r="37" spans="1:55" ht="14.25">
      <c r="A37" s="537" t="s">
        <v>841</v>
      </c>
      <c r="B37" s="551" t="s">
        <v>724</v>
      </c>
      <c r="C37" s="56"/>
      <c r="D37" s="49">
        <v>1128931.17</v>
      </c>
      <c r="E37" s="7"/>
      <c r="F37" s="7"/>
      <c r="G37" s="50">
        <f t="shared" si="15"/>
        <v>1128931.17</v>
      </c>
      <c r="H37" s="51"/>
      <c r="I37" s="7"/>
      <c r="J37" s="7"/>
      <c r="K37" s="52">
        <f t="shared" si="3"/>
        <v>1128931.17</v>
      </c>
      <c r="L37" s="51"/>
      <c r="M37" s="7"/>
      <c r="N37" s="7"/>
      <c r="O37" s="52">
        <f t="shared" si="4"/>
        <v>1128931.17</v>
      </c>
      <c r="P37" s="51"/>
      <c r="Q37" s="7"/>
      <c r="R37" s="7"/>
      <c r="S37" s="52">
        <f t="shared" si="5"/>
        <v>1128931.17</v>
      </c>
      <c r="T37" s="51"/>
      <c r="U37" s="7"/>
      <c r="V37" s="7"/>
      <c r="W37" s="52">
        <f t="shared" si="6"/>
        <v>1128931.17</v>
      </c>
      <c r="X37" s="51"/>
      <c r="Y37" s="7"/>
      <c r="Z37" s="7"/>
      <c r="AA37" s="52">
        <f t="shared" si="7"/>
        <v>1128931.17</v>
      </c>
      <c r="AB37" s="51"/>
      <c r="AC37" s="7"/>
      <c r="AD37" s="7"/>
      <c r="AE37" s="52">
        <f t="shared" si="8"/>
        <v>1128931.17</v>
      </c>
      <c r="AF37" s="51"/>
      <c r="AG37" s="7"/>
      <c r="AH37" s="7"/>
      <c r="AI37" s="52">
        <f t="shared" si="9"/>
        <v>1128931.17</v>
      </c>
      <c r="AJ37" s="51"/>
      <c r="AK37" s="7"/>
      <c r="AL37" s="7"/>
      <c r="AM37" s="52">
        <f t="shared" si="10"/>
        <v>1128931.17</v>
      </c>
      <c r="AN37" s="51"/>
      <c r="AO37" s="7"/>
      <c r="AP37" s="7"/>
      <c r="AQ37" s="52">
        <f t="shared" si="11"/>
        <v>1128931.17</v>
      </c>
      <c r="AR37" s="51"/>
      <c r="AS37" s="7"/>
      <c r="AT37" s="7"/>
      <c r="AU37" s="52">
        <f t="shared" si="12"/>
        <v>1128931.17</v>
      </c>
      <c r="AV37" s="51"/>
      <c r="AW37" s="7"/>
      <c r="AX37" s="7"/>
      <c r="AY37" s="52">
        <f t="shared" si="13"/>
        <v>1128931.17</v>
      </c>
      <c r="AZ37" s="51"/>
      <c r="BA37" s="53">
        <f t="shared" si="16"/>
        <v>0</v>
      </c>
      <c r="BB37" s="7">
        <f t="shared" si="17"/>
        <v>0</v>
      </c>
      <c r="BC37" s="52">
        <f t="shared" si="14"/>
        <v>1128931.17</v>
      </c>
    </row>
    <row r="38" spans="1:55" ht="15">
      <c r="A38" s="543">
        <v>140100</v>
      </c>
      <c r="B38" s="676" t="s">
        <v>719</v>
      </c>
      <c r="C38" s="54"/>
      <c r="D38" s="61">
        <f>SUM(D39:D40)</f>
        <v>0</v>
      </c>
      <c r="E38" s="62">
        <f>SUM(E39:E40)</f>
        <v>0</v>
      </c>
      <c r="F38" s="62">
        <f>SUM(F39:F40)</f>
        <v>0</v>
      </c>
      <c r="G38" s="63">
        <f>SUM(G39:G40)</f>
        <v>0</v>
      </c>
      <c r="H38" s="51"/>
      <c r="I38" s="62">
        <f>SUM(I39:I40)</f>
        <v>0</v>
      </c>
      <c r="J38" s="62">
        <f>SUM(J39:J40)</f>
        <v>0</v>
      </c>
      <c r="K38" s="63">
        <f>SUM(K39:K40)</f>
        <v>0</v>
      </c>
      <c r="L38" s="51"/>
      <c r="M38" s="62">
        <f>SUM(M39:M40)</f>
        <v>0</v>
      </c>
      <c r="N38" s="62">
        <f>SUM(N39:N40)</f>
        <v>0</v>
      </c>
      <c r="O38" s="63">
        <f>SUM(O39:O40)</f>
        <v>0</v>
      </c>
      <c r="P38" s="51"/>
      <c r="Q38" s="62">
        <f>SUM(Q39:Q40)</f>
        <v>0</v>
      </c>
      <c r="R38" s="62">
        <f>SUM(R39:R40)</f>
        <v>0</v>
      </c>
      <c r="S38" s="63">
        <f>SUM(S39:S40)</f>
        <v>0</v>
      </c>
      <c r="T38" s="51"/>
      <c r="U38" s="62">
        <f>SUM(U39:U40)</f>
        <v>0</v>
      </c>
      <c r="V38" s="62">
        <f>SUM(V39:V40)</f>
        <v>0</v>
      </c>
      <c r="W38" s="63">
        <f>SUM(W39:W40)</f>
        <v>0</v>
      </c>
      <c r="X38" s="51"/>
      <c r="Y38" s="62">
        <f>SUM(Y39:Y40)</f>
        <v>0</v>
      </c>
      <c r="Z38" s="62">
        <f>SUM(Z39:Z40)</f>
        <v>0</v>
      </c>
      <c r="AA38" s="63">
        <f>SUM(AA39:AA40)</f>
        <v>0</v>
      </c>
      <c r="AB38" s="51"/>
      <c r="AC38" s="62">
        <f>SUM(AC39:AC40)</f>
        <v>0</v>
      </c>
      <c r="AD38" s="62">
        <f>SUM(AD39:AD40)</f>
        <v>0</v>
      </c>
      <c r="AE38" s="63">
        <f>SUM(AE39:AE40)</f>
        <v>0</v>
      </c>
      <c r="AF38" s="51"/>
      <c r="AG38" s="62">
        <f>SUM(AG39:AG40)</f>
        <v>0</v>
      </c>
      <c r="AH38" s="62">
        <f>SUM(AH39:AH40)</f>
        <v>0</v>
      </c>
      <c r="AI38" s="63">
        <f>SUM(AI39:AI40)</f>
        <v>0</v>
      </c>
      <c r="AJ38" s="51"/>
      <c r="AK38" s="62">
        <f>SUM(AK39:AK40)</f>
        <v>0</v>
      </c>
      <c r="AL38" s="62">
        <f>SUM(AL39:AL40)</f>
        <v>0</v>
      </c>
      <c r="AM38" s="63">
        <f>SUM(AM39:AM40)</f>
        <v>0</v>
      </c>
      <c r="AN38" s="51"/>
      <c r="AO38" s="62">
        <f>SUM(AO39:AO40)</f>
        <v>0</v>
      </c>
      <c r="AP38" s="62">
        <f>SUM(AP39:AP40)</f>
        <v>0</v>
      </c>
      <c r="AQ38" s="63">
        <f>SUM(AQ39:AQ40)</f>
        <v>0</v>
      </c>
      <c r="AR38" s="51"/>
      <c r="AS38" s="62">
        <f>SUM(AS39:AS40)</f>
        <v>0</v>
      </c>
      <c r="AT38" s="62">
        <f>SUM(AT39:AT40)</f>
        <v>0</v>
      </c>
      <c r="AU38" s="63">
        <f>SUM(AU39:AU40)</f>
        <v>0</v>
      </c>
      <c r="AV38" s="51"/>
      <c r="AW38" s="62">
        <f>SUM(AW39:AW40)</f>
        <v>0</v>
      </c>
      <c r="AX38" s="62">
        <f>SUM(AX39:AX40)</f>
        <v>0</v>
      </c>
      <c r="AY38" s="63">
        <f>SUM(AY39:AY40)</f>
        <v>0</v>
      </c>
      <c r="AZ38" s="51"/>
      <c r="BA38" s="545">
        <f>SUM(BA39:BA40)</f>
        <v>0</v>
      </c>
      <c r="BB38" s="62">
        <f>SUM(BB39:BB40)</f>
        <v>0</v>
      </c>
      <c r="BC38" s="63">
        <f>SUM(BC39:BC40)</f>
        <v>0</v>
      </c>
    </row>
    <row r="39" spans="1:55" ht="15">
      <c r="A39" s="537" t="s">
        <v>108</v>
      </c>
      <c r="B39" s="551" t="s">
        <v>541</v>
      </c>
      <c r="C39" s="54"/>
      <c r="D39" s="49"/>
      <c r="E39" s="7"/>
      <c r="F39" s="7"/>
      <c r="G39" s="50">
        <f t="shared" si="15"/>
        <v>0</v>
      </c>
      <c r="H39" s="51"/>
      <c r="I39" s="7"/>
      <c r="J39" s="7"/>
      <c r="K39" s="52">
        <f t="shared" si="3"/>
        <v>0</v>
      </c>
      <c r="L39" s="51"/>
      <c r="M39" s="7"/>
      <c r="N39" s="7"/>
      <c r="O39" s="52">
        <f t="shared" si="4"/>
        <v>0</v>
      </c>
      <c r="P39" s="51"/>
      <c r="Q39" s="7"/>
      <c r="R39" s="7"/>
      <c r="S39" s="52">
        <f t="shared" si="5"/>
        <v>0</v>
      </c>
      <c r="T39" s="51"/>
      <c r="U39" s="7"/>
      <c r="V39" s="7"/>
      <c r="W39" s="52">
        <f t="shared" si="6"/>
        <v>0</v>
      </c>
      <c r="X39" s="51"/>
      <c r="Y39" s="7"/>
      <c r="Z39" s="7"/>
      <c r="AA39" s="52">
        <f t="shared" si="7"/>
        <v>0</v>
      </c>
      <c r="AB39" s="51"/>
      <c r="AC39" s="7"/>
      <c r="AD39" s="7"/>
      <c r="AE39" s="52">
        <f t="shared" si="8"/>
        <v>0</v>
      </c>
      <c r="AF39" s="51"/>
      <c r="AG39" s="7"/>
      <c r="AH39" s="7"/>
      <c r="AI39" s="52">
        <f t="shared" si="9"/>
        <v>0</v>
      </c>
      <c r="AJ39" s="51"/>
      <c r="AK39" s="7"/>
      <c r="AL39" s="7"/>
      <c r="AM39" s="52">
        <f t="shared" si="10"/>
        <v>0</v>
      </c>
      <c r="AN39" s="51"/>
      <c r="AO39" s="7"/>
      <c r="AP39" s="7"/>
      <c r="AQ39" s="52">
        <f t="shared" si="11"/>
        <v>0</v>
      </c>
      <c r="AR39" s="51"/>
      <c r="AS39" s="7"/>
      <c r="AT39" s="7"/>
      <c r="AU39" s="52">
        <f t="shared" si="12"/>
        <v>0</v>
      </c>
      <c r="AV39" s="51"/>
      <c r="AW39" s="7"/>
      <c r="AX39" s="7"/>
      <c r="AY39" s="52">
        <f t="shared" si="13"/>
        <v>0</v>
      </c>
      <c r="AZ39" s="51"/>
      <c r="BA39" s="53">
        <f t="shared" si="16"/>
        <v>0</v>
      </c>
      <c r="BB39" s="7">
        <f t="shared" si="17"/>
        <v>0</v>
      </c>
      <c r="BC39" s="52">
        <f t="shared" si="14"/>
        <v>0</v>
      </c>
    </row>
    <row r="40" spans="1:55" ht="15">
      <c r="A40" s="537" t="s">
        <v>109</v>
      </c>
      <c r="B40" s="551" t="s">
        <v>542</v>
      </c>
      <c r="C40" s="54"/>
      <c r="D40" s="49"/>
      <c r="E40" s="7"/>
      <c r="F40" s="7"/>
      <c r="G40" s="50">
        <f t="shared" si="15"/>
        <v>0</v>
      </c>
      <c r="H40" s="51"/>
      <c r="I40" s="7"/>
      <c r="J40" s="7"/>
      <c r="K40" s="52">
        <f t="shared" si="3"/>
        <v>0</v>
      </c>
      <c r="L40" s="51"/>
      <c r="M40" s="7"/>
      <c r="N40" s="7"/>
      <c r="O40" s="52">
        <f t="shared" si="4"/>
        <v>0</v>
      </c>
      <c r="P40" s="51"/>
      <c r="Q40" s="7"/>
      <c r="R40" s="7"/>
      <c r="S40" s="52">
        <f t="shared" si="5"/>
        <v>0</v>
      </c>
      <c r="T40" s="51"/>
      <c r="U40" s="7"/>
      <c r="V40" s="7"/>
      <c r="W40" s="52">
        <f t="shared" si="6"/>
        <v>0</v>
      </c>
      <c r="X40" s="51"/>
      <c r="Y40" s="7"/>
      <c r="Z40" s="7"/>
      <c r="AA40" s="52">
        <f t="shared" si="7"/>
        <v>0</v>
      </c>
      <c r="AB40" s="51"/>
      <c r="AC40" s="7"/>
      <c r="AD40" s="7"/>
      <c r="AE40" s="52">
        <f t="shared" si="8"/>
        <v>0</v>
      </c>
      <c r="AF40" s="51"/>
      <c r="AG40" s="7"/>
      <c r="AH40" s="7"/>
      <c r="AI40" s="52">
        <f t="shared" si="9"/>
        <v>0</v>
      </c>
      <c r="AJ40" s="51"/>
      <c r="AK40" s="7"/>
      <c r="AL40" s="7"/>
      <c r="AM40" s="52">
        <f t="shared" si="10"/>
        <v>0</v>
      </c>
      <c r="AN40" s="51"/>
      <c r="AO40" s="7"/>
      <c r="AP40" s="7"/>
      <c r="AQ40" s="52">
        <f t="shared" si="11"/>
        <v>0</v>
      </c>
      <c r="AR40" s="51"/>
      <c r="AS40" s="7"/>
      <c r="AT40" s="7"/>
      <c r="AU40" s="52">
        <f t="shared" si="12"/>
        <v>0</v>
      </c>
      <c r="AV40" s="51"/>
      <c r="AW40" s="7"/>
      <c r="AX40" s="7"/>
      <c r="AY40" s="52">
        <f t="shared" si="13"/>
        <v>0</v>
      </c>
      <c r="AZ40" s="51"/>
      <c r="BA40" s="53">
        <f t="shared" si="16"/>
        <v>0</v>
      </c>
      <c r="BB40" s="7">
        <f t="shared" si="17"/>
        <v>0</v>
      </c>
      <c r="BC40" s="52">
        <f t="shared" si="14"/>
        <v>0</v>
      </c>
    </row>
    <row r="41" spans="1:55" ht="15">
      <c r="A41" s="543" t="s">
        <v>843</v>
      </c>
      <c r="B41" s="676" t="s">
        <v>722</v>
      </c>
      <c r="C41" s="57"/>
      <c r="D41" s="61">
        <f>SUM(D42:D43)</f>
        <v>0</v>
      </c>
      <c r="E41" s="62">
        <f>SUM(E42:E43)</f>
        <v>0</v>
      </c>
      <c r="F41" s="62">
        <f>SUM(F42:F43)</f>
        <v>0</v>
      </c>
      <c r="G41" s="63">
        <f>SUM(G42:G43)</f>
        <v>0</v>
      </c>
      <c r="H41" s="51"/>
      <c r="I41" s="62">
        <f>SUM(I42:I43)</f>
        <v>0</v>
      </c>
      <c r="J41" s="62">
        <f>SUM(J42:J43)</f>
        <v>0</v>
      </c>
      <c r="K41" s="63">
        <f>SUM(K42:K43)</f>
        <v>0</v>
      </c>
      <c r="L41" s="51"/>
      <c r="M41" s="62">
        <f>SUM(M42:M43)</f>
        <v>0</v>
      </c>
      <c r="N41" s="62">
        <f>SUM(N42:N43)</f>
        <v>0</v>
      </c>
      <c r="O41" s="63">
        <f>SUM(O42:O43)</f>
        <v>0</v>
      </c>
      <c r="P41" s="51"/>
      <c r="Q41" s="62">
        <f>SUM(Q42:Q43)</f>
        <v>0</v>
      </c>
      <c r="R41" s="62">
        <f>SUM(R42:R43)</f>
        <v>0</v>
      </c>
      <c r="S41" s="63">
        <f>SUM(S42:S43)</f>
        <v>0</v>
      </c>
      <c r="T41" s="51"/>
      <c r="U41" s="62">
        <f>SUM(U42:U43)</f>
        <v>0</v>
      </c>
      <c r="V41" s="62">
        <f>SUM(V42:V43)</f>
        <v>0</v>
      </c>
      <c r="W41" s="63">
        <f>SUM(W42:W43)</f>
        <v>0</v>
      </c>
      <c r="X41" s="51"/>
      <c r="Y41" s="62">
        <f>SUM(Y42:Y43)</f>
        <v>0</v>
      </c>
      <c r="Z41" s="62">
        <f>SUM(Z42:Z43)</f>
        <v>0</v>
      </c>
      <c r="AA41" s="63">
        <f>SUM(AA42:AA43)</f>
        <v>0</v>
      </c>
      <c r="AB41" s="51"/>
      <c r="AC41" s="62">
        <f>SUM(AC42:AC43)</f>
        <v>0</v>
      </c>
      <c r="AD41" s="62">
        <f>SUM(AD42:AD43)</f>
        <v>0</v>
      </c>
      <c r="AE41" s="63">
        <f>SUM(AE42:AE43)</f>
        <v>0</v>
      </c>
      <c r="AF41" s="51"/>
      <c r="AG41" s="62">
        <f>SUM(AG42:AG43)</f>
        <v>0</v>
      </c>
      <c r="AH41" s="62">
        <f>SUM(AH42:AH43)</f>
        <v>0</v>
      </c>
      <c r="AI41" s="63">
        <f>SUM(AI42:AI43)</f>
        <v>0</v>
      </c>
      <c r="AJ41" s="51"/>
      <c r="AK41" s="62">
        <f>SUM(AK42:AK43)</f>
        <v>0</v>
      </c>
      <c r="AL41" s="62">
        <f>SUM(AL42:AL43)</f>
        <v>0</v>
      </c>
      <c r="AM41" s="63">
        <f>SUM(AM42:AM43)</f>
        <v>0</v>
      </c>
      <c r="AN41" s="51"/>
      <c r="AO41" s="62">
        <f>SUM(AO42:AO43)</f>
        <v>0</v>
      </c>
      <c r="AP41" s="62">
        <f>SUM(AP42:AP43)</f>
        <v>0</v>
      </c>
      <c r="AQ41" s="63">
        <f>SUM(AQ42:AQ43)</f>
        <v>0</v>
      </c>
      <c r="AR41" s="51"/>
      <c r="AS41" s="62">
        <f>SUM(AS42:AS43)</f>
        <v>0</v>
      </c>
      <c r="AT41" s="62">
        <f>SUM(AT42:AT43)</f>
        <v>0</v>
      </c>
      <c r="AU41" s="63">
        <f>SUM(AU42:AU43)</f>
        <v>0</v>
      </c>
      <c r="AV41" s="51"/>
      <c r="AW41" s="62">
        <f>SUM(AW42:AW43)</f>
        <v>0</v>
      </c>
      <c r="AX41" s="62">
        <f>SUM(AX42:AX43)</f>
        <v>0</v>
      </c>
      <c r="AY41" s="63">
        <f>SUM(AY42:AY43)</f>
        <v>0</v>
      </c>
      <c r="AZ41" s="51"/>
      <c r="BA41" s="545">
        <f>SUM(BA42:BA43)</f>
        <v>0</v>
      </c>
      <c r="BB41" s="62">
        <f>SUM(BB42:BB43)</f>
        <v>0</v>
      </c>
      <c r="BC41" s="63">
        <f>SUM(BC42:BC43)</f>
        <v>0</v>
      </c>
    </row>
    <row r="42" spans="1:55" ht="15">
      <c r="A42" s="537" t="s">
        <v>112</v>
      </c>
      <c r="B42" s="551" t="s">
        <v>543</v>
      </c>
      <c r="C42" s="54"/>
      <c r="D42" s="49"/>
      <c r="E42" s="7"/>
      <c r="F42" s="7"/>
      <c r="G42" s="50">
        <f t="shared" si="15"/>
        <v>0</v>
      </c>
      <c r="H42" s="51"/>
      <c r="I42" s="7"/>
      <c r="J42" s="7"/>
      <c r="K42" s="52">
        <f t="shared" si="3"/>
        <v>0</v>
      </c>
      <c r="L42" s="51"/>
      <c r="M42" s="7"/>
      <c r="N42" s="7"/>
      <c r="O42" s="52">
        <f t="shared" si="4"/>
        <v>0</v>
      </c>
      <c r="P42" s="51"/>
      <c r="Q42" s="7"/>
      <c r="R42" s="7"/>
      <c r="S42" s="52">
        <f t="shared" si="5"/>
        <v>0</v>
      </c>
      <c r="T42" s="51"/>
      <c r="U42" s="7"/>
      <c r="V42" s="7"/>
      <c r="W42" s="52">
        <f t="shared" si="6"/>
        <v>0</v>
      </c>
      <c r="X42" s="51"/>
      <c r="Y42" s="7"/>
      <c r="Z42" s="7"/>
      <c r="AA42" s="52">
        <f t="shared" si="7"/>
        <v>0</v>
      </c>
      <c r="AB42" s="51"/>
      <c r="AC42" s="7"/>
      <c r="AD42" s="7"/>
      <c r="AE42" s="52">
        <f t="shared" si="8"/>
        <v>0</v>
      </c>
      <c r="AF42" s="51"/>
      <c r="AG42" s="7"/>
      <c r="AH42" s="7"/>
      <c r="AI42" s="52">
        <f t="shared" si="9"/>
        <v>0</v>
      </c>
      <c r="AJ42" s="51"/>
      <c r="AK42" s="7"/>
      <c r="AL42" s="7"/>
      <c r="AM42" s="52">
        <f t="shared" si="10"/>
        <v>0</v>
      </c>
      <c r="AN42" s="51"/>
      <c r="AO42" s="7"/>
      <c r="AP42" s="7"/>
      <c r="AQ42" s="52">
        <f t="shared" si="11"/>
        <v>0</v>
      </c>
      <c r="AR42" s="51"/>
      <c r="AS42" s="7"/>
      <c r="AT42" s="7"/>
      <c r="AU42" s="52">
        <f t="shared" si="12"/>
        <v>0</v>
      </c>
      <c r="AV42" s="51"/>
      <c r="AW42" s="7"/>
      <c r="AX42" s="7"/>
      <c r="AY42" s="52">
        <f t="shared" si="13"/>
        <v>0</v>
      </c>
      <c r="AZ42" s="51"/>
      <c r="BA42" s="53">
        <f t="shared" si="16"/>
        <v>0</v>
      </c>
      <c r="BB42" s="7">
        <f t="shared" si="17"/>
        <v>0</v>
      </c>
      <c r="BC42" s="52">
        <f t="shared" si="14"/>
        <v>0</v>
      </c>
    </row>
    <row r="43" spans="1:55" ht="14.25">
      <c r="A43" s="537" t="s">
        <v>113</v>
      </c>
      <c r="B43" s="551" t="s">
        <v>544</v>
      </c>
      <c r="C43" s="56"/>
      <c r="D43" s="49"/>
      <c r="E43" s="7"/>
      <c r="F43" s="7"/>
      <c r="G43" s="50">
        <f t="shared" si="15"/>
        <v>0</v>
      </c>
      <c r="H43" s="51"/>
      <c r="I43" s="7"/>
      <c r="J43" s="7"/>
      <c r="K43" s="52">
        <f t="shared" si="3"/>
        <v>0</v>
      </c>
      <c r="L43" s="51"/>
      <c r="M43" s="7"/>
      <c r="N43" s="7"/>
      <c r="O43" s="52">
        <f t="shared" si="4"/>
        <v>0</v>
      </c>
      <c r="P43" s="51"/>
      <c r="Q43" s="7"/>
      <c r="R43" s="7"/>
      <c r="S43" s="52">
        <f t="shared" si="5"/>
        <v>0</v>
      </c>
      <c r="T43" s="51"/>
      <c r="U43" s="7"/>
      <c r="V43" s="7"/>
      <c r="W43" s="52">
        <f t="shared" si="6"/>
        <v>0</v>
      </c>
      <c r="X43" s="51"/>
      <c r="Y43" s="7"/>
      <c r="Z43" s="7"/>
      <c r="AA43" s="52">
        <f t="shared" si="7"/>
        <v>0</v>
      </c>
      <c r="AB43" s="51"/>
      <c r="AC43" s="7"/>
      <c r="AD43" s="7"/>
      <c r="AE43" s="52">
        <f t="shared" si="8"/>
        <v>0</v>
      </c>
      <c r="AF43" s="51"/>
      <c r="AG43" s="7"/>
      <c r="AH43" s="7"/>
      <c r="AI43" s="52">
        <f t="shared" si="9"/>
        <v>0</v>
      </c>
      <c r="AJ43" s="51"/>
      <c r="AK43" s="7"/>
      <c r="AL43" s="7"/>
      <c r="AM43" s="52">
        <f t="shared" si="10"/>
        <v>0</v>
      </c>
      <c r="AN43" s="51"/>
      <c r="AO43" s="7"/>
      <c r="AP43" s="7"/>
      <c r="AQ43" s="52">
        <f t="shared" si="11"/>
        <v>0</v>
      </c>
      <c r="AR43" s="51"/>
      <c r="AS43" s="7"/>
      <c r="AT43" s="7"/>
      <c r="AU43" s="52">
        <f t="shared" si="12"/>
        <v>0</v>
      </c>
      <c r="AV43" s="51"/>
      <c r="AW43" s="7"/>
      <c r="AX43" s="7"/>
      <c r="AY43" s="52">
        <f t="shared" si="13"/>
        <v>0</v>
      </c>
      <c r="AZ43" s="51"/>
      <c r="BA43" s="53">
        <f t="shared" si="16"/>
        <v>0</v>
      </c>
      <c r="BB43" s="7">
        <f t="shared" si="17"/>
        <v>0</v>
      </c>
      <c r="BC43" s="52">
        <f t="shared" si="14"/>
        <v>0</v>
      </c>
    </row>
    <row r="44" spans="1:55" ht="14.25">
      <c r="A44" s="537" t="s">
        <v>845</v>
      </c>
      <c r="B44" s="551" t="s">
        <v>732</v>
      </c>
      <c r="C44" s="56"/>
      <c r="D44" s="49">
        <f>10950641.53+17646080.7</f>
        <v>28596722.229999997</v>
      </c>
      <c r="E44" s="7"/>
      <c r="F44" s="7"/>
      <c r="G44" s="50">
        <f t="shared" si="15"/>
        <v>28596722.229999997</v>
      </c>
      <c r="H44" s="51"/>
      <c r="I44" s="7"/>
      <c r="J44" s="7"/>
      <c r="K44" s="52">
        <f t="shared" si="3"/>
        <v>28596722.229999997</v>
      </c>
      <c r="L44" s="51"/>
      <c r="M44" s="7"/>
      <c r="N44" s="7"/>
      <c r="O44" s="52">
        <f t="shared" si="4"/>
        <v>28596722.229999997</v>
      </c>
      <c r="P44" s="51"/>
      <c r="Q44" s="7"/>
      <c r="R44" s="7"/>
      <c r="S44" s="52">
        <f t="shared" si="5"/>
        <v>28596722.229999997</v>
      </c>
      <c r="T44" s="51"/>
      <c r="U44" s="7"/>
      <c r="V44" s="7"/>
      <c r="W44" s="52">
        <f t="shared" si="6"/>
        <v>28596722.229999997</v>
      </c>
      <c r="X44" s="51"/>
      <c r="Y44" s="7"/>
      <c r="Z44" s="7"/>
      <c r="AA44" s="52">
        <f t="shared" si="7"/>
        <v>28596722.229999997</v>
      </c>
      <c r="AB44" s="51"/>
      <c r="AC44" s="7"/>
      <c r="AD44" s="7"/>
      <c r="AE44" s="52">
        <f t="shared" si="8"/>
        <v>28596722.229999997</v>
      </c>
      <c r="AF44" s="51"/>
      <c r="AG44" s="7"/>
      <c r="AH44" s="7"/>
      <c r="AI44" s="52">
        <f t="shared" si="9"/>
        <v>28596722.229999997</v>
      </c>
      <c r="AJ44" s="51"/>
      <c r="AK44" s="7"/>
      <c r="AL44" s="7"/>
      <c r="AM44" s="52">
        <f t="shared" si="10"/>
        <v>28596722.229999997</v>
      </c>
      <c r="AN44" s="51"/>
      <c r="AO44" s="7"/>
      <c r="AP44" s="7"/>
      <c r="AQ44" s="52">
        <f t="shared" si="11"/>
        <v>28596722.229999997</v>
      </c>
      <c r="AR44" s="51"/>
      <c r="AS44" s="7"/>
      <c r="AT44" s="7"/>
      <c r="AU44" s="52">
        <f t="shared" si="12"/>
        <v>28596722.229999997</v>
      </c>
      <c r="AV44" s="51"/>
      <c r="AW44" s="7"/>
      <c r="AX44" s="7"/>
      <c r="AY44" s="52">
        <f t="shared" si="13"/>
        <v>28596722.229999997</v>
      </c>
      <c r="AZ44" s="51"/>
      <c r="BA44" s="53">
        <f t="shared" si="16"/>
        <v>0</v>
      </c>
      <c r="BB44" s="7">
        <f t="shared" si="17"/>
        <v>0</v>
      </c>
      <c r="BC44" s="52">
        <f t="shared" si="14"/>
        <v>28596722.229999997</v>
      </c>
    </row>
    <row r="45" spans="1:55" ht="15">
      <c r="A45" s="537" t="s">
        <v>847</v>
      </c>
      <c r="B45" s="678" t="s">
        <v>735</v>
      </c>
      <c r="C45" s="57"/>
      <c r="D45" s="49">
        <v>1970538.41</v>
      </c>
      <c r="E45" s="7"/>
      <c r="F45" s="7"/>
      <c r="G45" s="546">
        <f>D45+F45-E45</f>
        <v>1970538.41</v>
      </c>
      <c r="H45" s="51"/>
      <c r="I45" s="7"/>
      <c r="J45" s="7"/>
      <c r="K45" s="549">
        <f>G45+J45-I45</f>
        <v>1970538.41</v>
      </c>
      <c r="L45" s="51"/>
      <c r="M45" s="7"/>
      <c r="N45" s="7"/>
      <c r="O45" s="549">
        <f>K45+N45-M45</f>
        <v>1970538.41</v>
      </c>
      <c r="P45" s="51"/>
      <c r="Q45" s="7"/>
      <c r="R45" s="7"/>
      <c r="S45" s="549">
        <f>O45+R45-Q45</f>
        <v>1970538.41</v>
      </c>
      <c r="T45" s="51"/>
      <c r="U45" s="7"/>
      <c r="V45" s="7"/>
      <c r="W45" s="549">
        <f>S45+V45-U45</f>
        <v>1970538.41</v>
      </c>
      <c r="X45" s="51"/>
      <c r="Y45" s="7"/>
      <c r="Z45" s="7"/>
      <c r="AA45" s="549">
        <f>W45+Z45-Y45</f>
        <v>1970538.41</v>
      </c>
      <c r="AB45" s="51"/>
      <c r="AC45" s="7"/>
      <c r="AD45" s="7"/>
      <c r="AE45" s="549">
        <f>AA45+AD45-AC45</f>
        <v>1970538.41</v>
      </c>
      <c r="AF45" s="51"/>
      <c r="AG45" s="7"/>
      <c r="AH45" s="7"/>
      <c r="AI45" s="549">
        <f>AE45+AH45-AG45</f>
        <v>1970538.41</v>
      </c>
      <c r="AJ45" s="51"/>
      <c r="AK45" s="7"/>
      <c r="AL45" s="7"/>
      <c r="AM45" s="549">
        <f>AI45+AL45-AK45</f>
        <v>1970538.41</v>
      </c>
      <c r="AN45" s="51"/>
      <c r="AO45" s="7"/>
      <c r="AP45" s="7"/>
      <c r="AQ45" s="549">
        <f>AM45+AP45-AO45</f>
        <v>1970538.41</v>
      </c>
      <c r="AR45" s="51"/>
      <c r="AS45" s="7"/>
      <c r="AT45" s="7"/>
      <c r="AU45" s="549">
        <f>AQ45+AT45-AS45</f>
        <v>1970538.41</v>
      </c>
      <c r="AV45" s="51"/>
      <c r="AW45" s="7"/>
      <c r="AX45" s="7"/>
      <c r="AY45" s="549">
        <f>AU45+AX45-AW45</f>
        <v>1970538.41</v>
      </c>
      <c r="AZ45" s="51"/>
      <c r="BA45" s="53">
        <f t="shared" si="16"/>
        <v>0</v>
      </c>
      <c r="BB45" s="7">
        <f t="shared" si="17"/>
        <v>0</v>
      </c>
      <c r="BC45" s="549">
        <f>D45+BB45-BA45</f>
        <v>1970538.41</v>
      </c>
    </row>
    <row r="46" spans="1:55" ht="15">
      <c r="A46" s="537" t="s">
        <v>849</v>
      </c>
      <c r="B46" s="551" t="s">
        <v>731</v>
      </c>
      <c r="C46" s="54"/>
      <c r="D46" s="49"/>
      <c r="E46" s="7"/>
      <c r="F46" s="7"/>
      <c r="G46" s="50">
        <f t="shared" si="15"/>
        <v>0</v>
      </c>
      <c r="H46" s="51"/>
      <c r="I46" s="7"/>
      <c r="J46" s="7"/>
      <c r="K46" s="52">
        <f t="shared" si="3"/>
        <v>0</v>
      </c>
      <c r="L46" s="51"/>
      <c r="M46" s="7"/>
      <c r="N46" s="7"/>
      <c r="O46" s="52">
        <f t="shared" si="4"/>
        <v>0</v>
      </c>
      <c r="P46" s="51"/>
      <c r="Q46" s="7"/>
      <c r="R46" s="7"/>
      <c r="S46" s="52">
        <f t="shared" si="5"/>
        <v>0</v>
      </c>
      <c r="T46" s="51"/>
      <c r="U46" s="7"/>
      <c r="V46" s="7"/>
      <c r="W46" s="52">
        <f t="shared" si="6"/>
        <v>0</v>
      </c>
      <c r="X46" s="51"/>
      <c r="Y46" s="7"/>
      <c r="Z46" s="7"/>
      <c r="AA46" s="52">
        <f t="shared" si="7"/>
        <v>0</v>
      </c>
      <c r="AB46" s="51"/>
      <c r="AC46" s="7"/>
      <c r="AD46" s="7"/>
      <c r="AE46" s="52">
        <f t="shared" si="8"/>
        <v>0</v>
      </c>
      <c r="AF46" s="51"/>
      <c r="AG46" s="7"/>
      <c r="AH46" s="7"/>
      <c r="AI46" s="52">
        <f t="shared" si="9"/>
        <v>0</v>
      </c>
      <c r="AJ46" s="51"/>
      <c r="AK46" s="7"/>
      <c r="AL46" s="7"/>
      <c r="AM46" s="52">
        <f t="shared" si="10"/>
        <v>0</v>
      </c>
      <c r="AN46" s="51"/>
      <c r="AO46" s="7"/>
      <c r="AP46" s="7"/>
      <c r="AQ46" s="52">
        <f t="shared" si="11"/>
        <v>0</v>
      </c>
      <c r="AR46" s="51"/>
      <c r="AS46" s="7"/>
      <c r="AT46" s="7"/>
      <c r="AU46" s="52">
        <f t="shared" si="12"/>
        <v>0</v>
      </c>
      <c r="AV46" s="51"/>
      <c r="AW46" s="7"/>
      <c r="AX46" s="7"/>
      <c r="AY46" s="52">
        <f t="shared" si="13"/>
        <v>0</v>
      </c>
      <c r="AZ46" s="51"/>
      <c r="BA46" s="53">
        <f t="shared" si="16"/>
        <v>0</v>
      </c>
      <c r="BB46" s="7">
        <f t="shared" si="17"/>
        <v>0</v>
      </c>
      <c r="BC46" s="52">
        <f>D46+BA46-BB46</f>
        <v>0</v>
      </c>
    </row>
    <row r="47" spans="1:55" ht="14.25">
      <c r="A47" s="543" t="s">
        <v>851</v>
      </c>
      <c r="B47" s="679" t="s">
        <v>753</v>
      </c>
      <c r="C47" s="636"/>
      <c r="D47" s="61">
        <f>SUM(D48:D51)</f>
        <v>0</v>
      </c>
      <c r="E47" s="62">
        <f>SUM(E48:E51)</f>
        <v>300</v>
      </c>
      <c r="F47" s="62">
        <f>SUM(F48:F51)</f>
        <v>0</v>
      </c>
      <c r="G47" s="63">
        <f>SUM(G48:G51)</f>
        <v>300</v>
      </c>
      <c r="H47" s="51"/>
      <c r="I47" s="62">
        <f>SUM(I48:I51)</f>
        <v>0</v>
      </c>
      <c r="J47" s="62">
        <f>SUM(J48:J51)</f>
        <v>0</v>
      </c>
      <c r="K47" s="63">
        <f>SUM(K48:K51)</f>
        <v>300</v>
      </c>
      <c r="L47" s="51"/>
      <c r="M47" s="62">
        <f>SUM(M48:M51)</f>
        <v>0</v>
      </c>
      <c r="N47" s="62">
        <f>SUM(N48:N51)</f>
        <v>0</v>
      </c>
      <c r="O47" s="63">
        <f>SUM(O48:O51)</f>
        <v>300</v>
      </c>
      <c r="P47" s="51"/>
      <c r="Q47" s="62">
        <f>SUM(Q48:Q51)</f>
        <v>0</v>
      </c>
      <c r="R47" s="62">
        <f>SUM(R48:R51)</f>
        <v>0</v>
      </c>
      <c r="S47" s="63">
        <f>SUM(S48:S51)</f>
        <v>300</v>
      </c>
      <c r="T47" s="51"/>
      <c r="U47" s="62">
        <f>SUM(U48:U51)</f>
        <v>0</v>
      </c>
      <c r="V47" s="62">
        <f>SUM(V48:V51)</f>
        <v>0</v>
      </c>
      <c r="W47" s="63">
        <f>SUM(W48:W51)</f>
        <v>300</v>
      </c>
      <c r="X47" s="51"/>
      <c r="Y47" s="62">
        <f>SUM(Y48:Y51)</f>
        <v>0</v>
      </c>
      <c r="Z47" s="62">
        <f>SUM(Z48:Z51)</f>
        <v>0</v>
      </c>
      <c r="AA47" s="63">
        <f>SUM(AA48:AA51)</f>
        <v>300</v>
      </c>
      <c r="AB47" s="51"/>
      <c r="AC47" s="62">
        <f>SUM(AC48:AC51)</f>
        <v>0</v>
      </c>
      <c r="AD47" s="62">
        <f>SUM(AD48:AD51)</f>
        <v>0</v>
      </c>
      <c r="AE47" s="63">
        <f>SUM(AE48:AE51)</f>
        <v>300</v>
      </c>
      <c r="AF47" s="51"/>
      <c r="AG47" s="62">
        <f>SUM(AG48:AG51)</f>
        <v>0</v>
      </c>
      <c r="AH47" s="62">
        <f>SUM(AH48:AH51)</f>
        <v>0</v>
      </c>
      <c r="AI47" s="63">
        <f>SUM(AI48:AI51)</f>
        <v>300</v>
      </c>
      <c r="AJ47" s="51"/>
      <c r="AK47" s="62">
        <f>SUM(AK48:AK51)</f>
        <v>0</v>
      </c>
      <c r="AL47" s="62">
        <f>SUM(AL48:AL51)</f>
        <v>0</v>
      </c>
      <c r="AM47" s="63">
        <f>SUM(AM48:AM51)</f>
        <v>300</v>
      </c>
      <c r="AN47" s="51"/>
      <c r="AO47" s="62">
        <f>SUM(AO48:AO51)</f>
        <v>0</v>
      </c>
      <c r="AP47" s="62">
        <f>SUM(AP48:AP51)</f>
        <v>0</v>
      </c>
      <c r="AQ47" s="63">
        <f>SUM(AQ48:AQ51)</f>
        <v>300</v>
      </c>
      <c r="AR47" s="51"/>
      <c r="AS47" s="62">
        <f>SUM(AS48:AS51)</f>
        <v>0</v>
      </c>
      <c r="AT47" s="62">
        <f>SUM(AT48:AT51)</f>
        <v>0</v>
      </c>
      <c r="AU47" s="63">
        <f>SUM(AU48:AU51)</f>
        <v>300</v>
      </c>
      <c r="AV47" s="51"/>
      <c r="AW47" s="62">
        <f>SUM(AW48:AW51)</f>
        <v>0</v>
      </c>
      <c r="AX47" s="62">
        <f>SUM(AX48:AX51)</f>
        <v>0</v>
      </c>
      <c r="AY47" s="63">
        <f>SUM(AY48:AY51)</f>
        <v>300</v>
      </c>
      <c r="AZ47" s="51"/>
      <c r="BA47" s="53">
        <f t="shared" si="16"/>
        <v>300</v>
      </c>
      <c r="BB47" s="7">
        <f t="shared" si="17"/>
        <v>0</v>
      </c>
      <c r="BC47" s="52">
        <f aca="true" t="shared" si="18" ref="BC47:BC54">D47+BA47-BB47</f>
        <v>300</v>
      </c>
    </row>
    <row r="48" spans="1:55" ht="14.25">
      <c r="A48" s="537" t="s">
        <v>122</v>
      </c>
      <c r="B48" s="551" t="s">
        <v>545</v>
      </c>
      <c r="C48" s="58"/>
      <c r="D48" s="49"/>
      <c r="E48" s="7"/>
      <c r="F48" s="7"/>
      <c r="G48" s="50">
        <f t="shared" si="15"/>
        <v>0</v>
      </c>
      <c r="H48" s="51"/>
      <c r="I48" s="7"/>
      <c r="J48" s="7"/>
      <c r="K48" s="52">
        <f t="shared" si="3"/>
        <v>0</v>
      </c>
      <c r="L48" s="51"/>
      <c r="M48" s="7"/>
      <c r="N48" s="7"/>
      <c r="O48" s="52">
        <f t="shared" si="4"/>
        <v>0</v>
      </c>
      <c r="P48" s="51"/>
      <c r="Q48" s="7"/>
      <c r="R48" s="7"/>
      <c r="S48" s="52">
        <f t="shared" si="5"/>
        <v>0</v>
      </c>
      <c r="T48" s="51"/>
      <c r="U48" s="7"/>
      <c r="V48" s="7"/>
      <c r="W48" s="52">
        <f t="shared" si="6"/>
        <v>0</v>
      </c>
      <c r="X48" s="51"/>
      <c r="Y48" s="7"/>
      <c r="Z48" s="7"/>
      <c r="AA48" s="52">
        <f t="shared" si="7"/>
        <v>0</v>
      </c>
      <c r="AB48" s="51"/>
      <c r="AC48" s="7"/>
      <c r="AD48" s="7"/>
      <c r="AE48" s="52">
        <f t="shared" si="8"/>
        <v>0</v>
      </c>
      <c r="AF48" s="51"/>
      <c r="AG48" s="7"/>
      <c r="AH48" s="7"/>
      <c r="AI48" s="52">
        <f t="shared" si="9"/>
        <v>0</v>
      </c>
      <c r="AJ48" s="51"/>
      <c r="AK48" s="7"/>
      <c r="AL48" s="7"/>
      <c r="AM48" s="52">
        <f t="shared" si="10"/>
        <v>0</v>
      </c>
      <c r="AN48" s="51"/>
      <c r="AO48" s="7"/>
      <c r="AP48" s="7"/>
      <c r="AQ48" s="52">
        <f t="shared" si="11"/>
        <v>0</v>
      </c>
      <c r="AR48" s="51"/>
      <c r="AS48" s="7"/>
      <c r="AT48" s="7"/>
      <c r="AU48" s="52">
        <f t="shared" si="12"/>
        <v>0</v>
      </c>
      <c r="AV48" s="51"/>
      <c r="AW48" s="7"/>
      <c r="AX48" s="7"/>
      <c r="AY48" s="52">
        <f t="shared" si="13"/>
        <v>0</v>
      </c>
      <c r="AZ48" s="51"/>
      <c r="BA48" s="53">
        <f t="shared" si="16"/>
        <v>0</v>
      </c>
      <c r="BB48" s="7">
        <f t="shared" si="17"/>
        <v>0</v>
      </c>
      <c r="BC48" s="52">
        <f t="shared" si="18"/>
        <v>0</v>
      </c>
    </row>
    <row r="49" spans="1:55" ht="14.25">
      <c r="A49" s="537" t="s">
        <v>123</v>
      </c>
      <c r="B49" s="551" t="s">
        <v>546</v>
      </c>
      <c r="C49" s="58"/>
      <c r="D49" s="49"/>
      <c r="E49" s="7">
        <v>300</v>
      </c>
      <c r="F49" s="7"/>
      <c r="G49" s="50">
        <f t="shared" si="15"/>
        <v>300</v>
      </c>
      <c r="H49" s="51"/>
      <c r="I49" s="7"/>
      <c r="J49" s="7"/>
      <c r="K49" s="52">
        <f t="shared" si="3"/>
        <v>300</v>
      </c>
      <c r="L49" s="51"/>
      <c r="M49" s="7"/>
      <c r="N49" s="7"/>
      <c r="O49" s="52">
        <f t="shared" si="4"/>
        <v>300</v>
      </c>
      <c r="P49" s="51"/>
      <c r="Q49" s="7"/>
      <c r="R49" s="7"/>
      <c r="S49" s="52">
        <f t="shared" si="5"/>
        <v>300</v>
      </c>
      <c r="T49" s="51"/>
      <c r="U49" s="7"/>
      <c r="V49" s="7"/>
      <c r="W49" s="52">
        <f t="shared" si="6"/>
        <v>300</v>
      </c>
      <c r="X49" s="51"/>
      <c r="Y49" s="7"/>
      <c r="Z49" s="7"/>
      <c r="AA49" s="52">
        <f t="shared" si="7"/>
        <v>300</v>
      </c>
      <c r="AB49" s="51"/>
      <c r="AC49" s="7"/>
      <c r="AD49" s="7"/>
      <c r="AE49" s="52">
        <f t="shared" si="8"/>
        <v>300</v>
      </c>
      <c r="AF49" s="51"/>
      <c r="AG49" s="7"/>
      <c r="AH49" s="7"/>
      <c r="AI49" s="52">
        <f t="shared" si="9"/>
        <v>300</v>
      </c>
      <c r="AJ49" s="51"/>
      <c r="AK49" s="7"/>
      <c r="AL49" s="7"/>
      <c r="AM49" s="52">
        <f t="shared" si="10"/>
        <v>300</v>
      </c>
      <c r="AN49" s="51"/>
      <c r="AO49" s="7"/>
      <c r="AP49" s="7"/>
      <c r="AQ49" s="52">
        <f t="shared" si="11"/>
        <v>300</v>
      </c>
      <c r="AR49" s="51"/>
      <c r="AS49" s="7"/>
      <c r="AT49" s="7"/>
      <c r="AU49" s="52">
        <f t="shared" si="12"/>
        <v>300</v>
      </c>
      <c r="AV49" s="51"/>
      <c r="AW49" s="7"/>
      <c r="AX49" s="7"/>
      <c r="AY49" s="52">
        <f t="shared" si="13"/>
        <v>300</v>
      </c>
      <c r="AZ49" s="51"/>
      <c r="BA49" s="53">
        <f t="shared" si="16"/>
        <v>300</v>
      </c>
      <c r="BB49" s="7">
        <f t="shared" si="17"/>
        <v>0</v>
      </c>
      <c r="BC49" s="52">
        <f t="shared" si="18"/>
        <v>300</v>
      </c>
    </row>
    <row r="50" spans="1:55" ht="15">
      <c r="A50" s="537" t="s">
        <v>124</v>
      </c>
      <c r="B50" s="551" t="s">
        <v>547</v>
      </c>
      <c r="C50" s="54"/>
      <c r="D50" s="49"/>
      <c r="E50" s="7"/>
      <c r="F50" s="7"/>
      <c r="G50" s="50">
        <f t="shared" si="15"/>
        <v>0</v>
      </c>
      <c r="H50" s="51"/>
      <c r="I50" s="7"/>
      <c r="J50" s="7"/>
      <c r="K50" s="52">
        <f t="shared" si="3"/>
        <v>0</v>
      </c>
      <c r="L50" s="51"/>
      <c r="M50" s="7"/>
      <c r="N50" s="7"/>
      <c r="O50" s="52">
        <f t="shared" si="4"/>
        <v>0</v>
      </c>
      <c r="P50" s="51"/>
      <c r="Q50" s="7"/>
      <c r="R50" s="7"/>
      <c r="S50" s="52">
        <f t="shared" si="5"/>
        <v>0</v>
      </c>
      <c r="T50" s="51"/>
      <c r="U50" s="7"/>
      <c r="V50" s="7"/>
      <c r="W50" s="52">
        <f t="shared" si="6"/>
        <v>0</v>
      </c>
      <c r="X50" s="51"/>
      <c r="Y50" s="7"/>
      <c r="Z50" s="7"/>
      <c r="AA50" s="52">
        <f t="shared" si="7"/>
        <v>0</v>
      </c>
      <c r="AB50" s="51"/>
      <c r="AC50" s="7"/>
      <c r="AD50" s="7"/>
      <c r="AE50" s="52">
        <f t="shared" si="8"/>
        <v>0</v>
      </c>
      <c r="AF50" s="51"/>
      <c r="AG50" s="7"/>
      <c r="AH50" s="7"/>
      <c r="AI50" s="52">
        <f t="shared" si="9"/>
        <v>0</v>
      </c>
      <c r="AJ50" s="51"/>
      <c r="AK50" s="7"/>
      <c r="AL50" s="7"/>
      <c r="AM50" s="52">
        <f t="shared" si="10"/>
        <v>0</v>
      </c>
      <c r="AN50" s="51"/>
      <c r="AO50" s="7"/>
      <c r="AP50" s="7"/>
      <c r="AQ50" s="52">
        <f t="shared" si="11"/>
        <v>0</v>
      </c>
      <c r="AR50" s="51"/>
      <c r="AS50" s="7"/>
      <c r="AT50" s="7"/>
      <c r="AU50" s="52">
        <f t="shared" si="12"/>
        <v>0</v>
      </c>
      <c r="AV50" s="51"/>
      <c r="AW50" s="7"/>
      <c r="AX50" s="7"/>
      <c r="AY50" s="52">
        <f t="shared" si="13"/>
        <v>0</v>
      </c>
      <c r="AZ50" s="51"/>
      <c r="BA50" s="53">
        <f t="shared" si="16"/>
        <v>0</v>
      </c>
      <c r="BB50" s="7">
        <f t="shared" si="17"/>
        <v>0</v>
      </c>
      <c r="BC50" s="52">
        <f t="shared" si="18"/>
        <v>0</v>
      </c>
    </row>
    <row r="51" spans="1:55" ht="15">
      <c r="A51" s="537" t="s">
        <v>125</v>
      </c>
      <c r="B51" s="551" t="s">
        <v>548</v>
      </c>
      <c r="C51" s="54"/>
      <c r="D51" s="49"/>
      <c r="E51" s="7"/>
      <c r="F51" s="7"/>
      <c r="G51" s="50">
        <f t="shared" si="15"/>
        <v>0</v>
      </c>
      <c r="H51" s="51"/>
      <c r="I51" s="7"/>
      <c r="J51" s="7"/>
      <c r="K51" s="52">
        <f t="shared" si="3"/>
        <v>0</v>
      </c>
      <c r="L51" s="51"/>
      <c r="M51" s="7"/>
      <c r="N51" s="7"/>
      <c r="O51" s="52">
        <f t="shared" si="4"/>
        <v>0</v>
      </c>
      <c r="P51" s="51"/>
      <c r="Q51" s="7"/>
      <c r="R51" s="7"/>
      <c r="S51" s="52">
        <f t="shared" si="5"/>
        <v>0</v>
      </c>
      <c r="T51" s="51"/>
      <c r="U51" s="7"/>
      <c r="V51" s="7"/>
      <c r="W51" s="52">
        <f t="shared" si="6"/>
        <v>0</v>
      </c>
      <c r="X51" s="51"/>
      <c r="Y51" s="7"/>
      <c r="Z51" s="7"/>
      <c r="AA51" s="52">
        <f t="shared" si="7"/>
        <v>0</v>
      </c>
      <c r="AB51" s="51"/>
      <c r="AC51" s="7"/>
      <c r="AD51" s="7"/>
      <c r="AE51" s="52">
        <f t="shared" si="8"/>
        <v>0</v>
      </c>
      <c r="AF51" s="51"/>
      <c r="AG51" s="7"/>
      <c r="AH51" s="7"/>
      <c r="AI51" s="52">
        <f t="shared" si="9"/>
        <v>0</v>
      </c>
      <c r="AJ51" s="51"/>
      <c r="AK51" s="7"/>
      <c r="AL51" s="7"/>
      <c r="AM51" s="52">
        <f t="shared" si="10"/>
        <v>0</v>
      </c>
      <c r="AN51" s="51"/>
      <c r="AO51" s="7"/>
      <c r="AP51" s="7"/>
      <c r="AQ51" s="52">
        <f t="shared" si="11"/>
        <v>0</v>
      </c>
      <c r="AR51" s="51"/>
      <c r="AS51" s="7"/>
      <c r="AT51" s="7"/>
      <c r="AU51" s="52">
        <f t="shared" si="12"/>
        <v>0</v>
      </c>
      <c r="AV51" s="51"/>
      <c r="AW51" s="7"/>
      <c r="AX51" s="7"/>
      <c r="AY51" s="52">
        <f t="shared" si="13"/>
        <v>0</v>
      </c>
      <c r="AZ51" s="51"/>
      <c r="BA51" s="53">
        <f t="shared" si="16"/>
        <v>0</v>
      </c>
      <c r="BB51" s="7">
        <f t="shared" si="17"/>
        <v>0</v>
      </c>
      <c r="BC51" s="52">
        <f t="shared" si="18"/>
        <v>0</v>
      </c>
    </row>
    <row r="52" spans="1:55" ht="15">
      <c r="A52" s="537">
        <v>170100</v>
      </c>
      <c r="B52" s="551" t="s">
        <v>733</v>
      </c>
      <c r="C52" s="54"/>
      <c r="D52" s="49"/>
      <c r="E52" s="7"/>
      <c r="F52" s="7"/>
      <c r="G52" s="50">
        <f t="shared" si="15"/>
        <v>0</v>
      </c>
      <c r="H52" s="51"/>
      <c r="I52" s="7"/>
      <c r="J52" s="7"/>
      <c r="K52" s="52">
        <f t="shared" si="3"/>
        <v>0</v>
      </c>
      <c r="L52" s="51"/>
      <c r="M52" s="7"/>
      <c r="N52" s="7"/>
      <c r="O52" s="52">
        <f t="shared" si="4"/>
        <v>0</v>
      </c>
      <c r="P52" s="51"/>
      <c r="Q52" s="7"/>
      <c r="R52" s="7"/>
      <c r="S52" s="52">
        <f t="shared" si="5"/>
        <v>0</v>
      </c>
      <c r="T52" s="51"/>
      <c r="U52" s="7"/>
      <c r="V52" s="7"/>
      <c r="W52" s="52">
        <f t="shared" si="6"/>
        <v>0</v>
      </c>
      <c r="X52" s="51"/>
      <c r="Y52" s="7"/>
      <c r="Z52" s="7"/>
      <c r="AA52" s="52">
        <f t="shared" si="7"/>
        <v>0</v>
      </c>
      <c r="AB52" s="51"/>
      <c r="AC52" s="7"/>
      <c r="AD52" s="7"/>
      <c r="AE52" s="52">
        <f t="shared" si="8"/>
        <v>0</v>
      </c>
      <c r="AF52" s="51"/>
      <c r="AG52" s="7"/>
      <c r="AH52" s="7"/>
      <c r="AI52" s="52">
        <f t="shared" si="9"/>
        <v>0</v>
      </c>
      <c r="AJ52" s="51"/>
      <c r="AK52" s="7"/>
      <c r="AL52" s="7"/>
      <c r="AM52" s="52">
        <f t="shared" si="10"/>
        <v>0</v>
      </c>
      <c r="AN52" s="51"/>
      <c r="AO52" s="7"/>
      <c r="AP52" s="7"/>
      <c r="AQ52" s="52">
        <f t="shared" si="11"/>
        <v>0</v>
      </c>
      <c r="AR52" s="51"/>
      <c r="AS52" s="7"/>
      <c r="AT52" s="7"/>
      <c r="AU52" s="52">
        <f t="shared" si="12"/>
        <v>0</v>
      </c>
      <c r="AV52" s="51"/>
      <c r="AW52" s="7"/>
      <c r="AX52" s="7"/>
      <c r="AY52" s="52">
        <f t="shared" si="13"/>
        <v>0</v>
      </c>
      <c r="AZ52" s="51"/>
      <c r="BA52" s="53">
        <f t="shared" si="16"/>
        <v>0</v>
      </c>
      <c r="BB52" s="7">
        <f t="shared" si="17"/>
        <v>0</v>
      </c>
      <c r="BC52" s="52">
        <f>D52+BA52-BB52</f>
        <v>0</v>
      </c>
    </row>
    <row r="53" spans="1:55" ht="15">
      <c r="A53" s="537" t="s">
        <v>853</v>
      </c>
      <c r="B53" s="551" t="s">
        <v>51</v>
      </c>
      <c r="C53" s="54"/>
      <c r="D53" s="49"/>
      <c r="E53" s="7"/>
      <c r="F53" s="7"/>
      <c r="G53" s="50">
        <f t="shared" si="15"/>
        <v>0</v>
      </c>
      <c r="H53" s="51"/>
      <c r="I53" s="7"/>
      <c r="J53" s="7"/>
      <c r="K53" s="52">
        <f t="shared" si="3"/>
        <v>0</v>
      </c>
      <c r="L53" s="51"/>
      <c r="M53" s="7"/>
      <c r="N53" s="7"/>
      <c r="O53" s="52">
        <f t="shared" si="4"/>
        <v>0</v>
      </c>
      <c r="P53" s="51"/>
      <c r="Q53" s="7"/>
      <c r="R53" s="7"/>
      <c r="S53" s="52">
        <f t="shared" si="5"/>
        <v>0</v>
      </c>
      <c r="T53" s="51"/>
      <c r="U53" s="7"/>
      <c r="V53" s="7"/>
      <c r="W53" s="52">
        <f t="shared" si="6"/>
        <v>0</v>
      </c>
      <c r="X53" s="51"/>
      <c r="Y53" s="7"/>
      <c r="Z53" s="7"/>
      <c r="AA53" s="52">
        <f t="shared" si="7"/>
        <v>0</v>
      </c>
      <c r="AB53" s="51"/>
      <c r="AC53" s="7"/>
      <c r="AD53" s="7"/>
      <c r="AE53" s="52">
        <f t="shared" si="8"/>
        <v>0</v>
      </c>
      <c r="AF53" s="51"/>
      <c r="AG53" s="7"/>
      <c r="AH53" s="7"/>
      <c r="AI53" s="52">
        <f t="shared" si="9"/>
        <v>0</v>
      </c>
      <c r="AJ53" s="51"/>
      <c r="AK53" s="7"/>
      <c r="AL53" s="7"/>
      <c r="AM53" s="52">
        <f t="shared" si="10"/>
        <v>0</v>
      </c>
      <c r="AN53" s="51"/>
      <c r="AO53" s="7"/>
      <c r="AP53" s="7"/>
      <c r="AQ53" s="52">
        <f t="shared" si="11"/>
        <v>0</v>
      </c>
      <c r="AR53" s="51"/>
      <c r="AS53" s="7"/>
      <c r="AT53" s="7"/>
      <c r="AU53" s="52">
        <f t="shared" si="12"/>
        <v>0</v>
      </c>
      <c r="AV53" s="51"/>
      <c r="AW53" s="7"/>
      <c r="AX53" s="7"/>
      <c r="AY53" s="52">
        <f t="shared" si="13"/>
        <v>0</v>
      </c>
      <c r="AZ53" s="51"/>
      <c r="BA53" s="53">
        <f t="shared" si="16"/>
        <v>0</v>
      </c>
      <c r="BB53" s="7">
        <f t="shared" si="17"/>
        <v>0</v>
      </c>
      <c r="BC53" s="52">
        <f t="shared" si="18"/>
        <v>0</v>
      </c>
    </row>
    <row r="54" spans="1:55" ht="15">
      <c r="A54" s="537" t="s">
        <v>855</v>
      </c>
      <c r="B54" s="551" t="s">
        <v>52</v>
      </c>
      <c r="C54" s="54"/>
      <c r="D54" s="49"/>
      <c r="E54" s="7"/>
      <c r="F54" s="7"/>
      <c r="G54" s="50">
        <f t="shared" si="15"/>
        <v>0</v>
      </c>
      <c r="H54" s="51"/>
      <c r="I54" s="7"/>
      <c r="J54" s="7"/>
      <c r="K54" s="52">
        <f t="shared" si="3"/>
        <v>0</v>
      </c>
      <c r="L54" s="51"/>
      <c r="M54" s="7"/>
      <c r="N54" s="7"/>
      <c r="O54" s="52">
        <f t="shared" si="4"/>
        <v>0</v>
      </c>
      <c r="P54" s="51"/>
      <c r="Q54" s="7"/>
      <c r="R54" s="7"/>
      <c r="S54" s="52">
        <f t="shared" si="5"/>
        <v>0</v>
      </c>
      <c r="T54" s="51"/>
      <c r="U54" s="7"/>
      <c r="V54" s="7"/>
      <c r="W54" s="52">
        <f t="shared" si="6"/>
        <v>0</v>
      </c>
      <c r="X54" s="51"/>
      <c r="Y54" s="7"/>
      <c r="Z54" s="7"/>
      <c r="AA54" s="52">
        <f t="shared" si="7"/>
        <v>0</v>
      </c>
      <c r="AB54" s="51"/>
      <c r="AC54" s="7"/>
      <c r="AD54" s="7"/>
      <c r="AE54" s="52">
        <f t="shared" si="8"/>
        <v>0</v>
      </c>
      <c r="AF54" s="51"/>
      <c r="AG54" s="7"/>
      <c r="AH54" s="7"/>
      <c r="AI54" s="52">
        <f t="shared" si="9"/>
        <v>0</v>
      </c>
      <c r="AJ54" s="51"/>
      <c r="AK54" s="7"/>
      <c r="AL54" s="7"/>
      <c r="AM54" s="52">
        <f t="shared" si="10"/>
        <v>0</v>
      </c>
      <c r="AN54" s="51"/>
      <c r="AO54" s="7"/>
      <c r="AP54" s="7"/>
      <c r="AQ54" s="52">
        <f t="shared" si="11"/>
        <v>0</v>
      </c>
      <c r="AR54" s="51"/>
      <c r="AS54" s="7"/>
      <c r="AT54" s="7"/>
      <c r="AU54" s="52">
        <f t="shared" si="12"/>
        <v>0</v>
      </c>
      <c r="AV54" s="51"/>
      <c r="AW54" s="7"/>
      <c r="AX54" s="7"/>
      <c r="AY54" s="52">
        <f t="shared" si="13"/>
        <v>0</v>
      </c>
      <c r="AZ54" s="51"/>
      <c r="BA54" s="53">
        <f t="shared" si="16"/>
        <v>0</v>
      </c>
      <c r="BB54" s="7">
        <f t="shared" si="17"/>
        <v>0</v>
      </c>
      <c r="BC54" s="52">
        <f t="shared" si="18"/>
        <v>0</v>
      </c>
    </row>
    <row r="55" spans="1:55" ht="15">
      <c r="A55" s="537" t="s">
        <v>857</v>
      </c>
      <c r="B55" s="678" t="s">
        <v>727</v>
      </c>
      <c r="C55" s="59"/>
      <c r="D55" s="49">
        <v>21033772</v>
      </c>
      <c r="E55" s="7"/>
      <c r="F55" s="7"/>
      <c r="G55" s="546">
        <f>D55+F55-E55</f>
        <v>21033772</v>
      </c>
      <c r="H55" s="51"/>
      <c r="I55" s="7"/>
      <c r="J55" s="7"/>
      <c r="K55" s="549">
        <f>G55+J55-I55</f>
        <v>21033772</v>
      </c>
      <c r="L55" s="51"/>
      <c r="M55" s="7"/>
      <c r="N55" s="7"/>
      <c r="O55" s="549">
        <f>K55+N55-M55</f>
        <v>21033772</v>
      </c>
      <c r="P55" s="51"/>
      <c r="Q55" s="7"/>
      <c r="R55" s="7"/>
      <c r="S55" s="549">
        <f>O55+R55-Q55</f>
        <v>21033772</v>
      </c>
      <c r="T55" s="51"/>
      <c r="U55" s="7"/>
      <c r="V55" s="7"/>
      <c r="W55" s="549">
        <f>S55+V55-U55</f>
        <v>21033772</v>
      </c>
      <c r="X55" s="51"/>
      <c r="Y55" s="7"/>
      <c r="Z55" s="7"/>
      <c r="AA55" s="549">
        <f>W55+Z55-Y55</f>
        <v>21033772</v>
      </c>
      <c r="AB55" s="51"/>
      <c r="AC55" s="7"/>
      <c r="AD55" s="7"/>
      <c r="AE55" s="549">
        <f>AA55+AD55-AC55</f>
        <v>21033772</v>
      </c>
      <c r="AF55" s="51"/>
      <c r="AG55" s="7"/>
      <c r="AH55" s="7"/>
      <c r="AI55" s="549">
        <f>AE55+AH55-AG55</f>
        <v>21033772</v>
      </c>
      <c r="AJ55" s="51"/>
      <c r="AK55" s="7"/>
      <c r="AL55" s="7"/>
      <c r="AM55" s="549">
        <f>AI55+AL55-AK55</f>
        <v>21033772</v>
      </c>
      <c r="AN55" s="51"/>
      <c r="AO55" s="7"/>
      <c r="AP55" s="7"/>
      <c r="AQ55" s="549">
        <f>AM55+AP55-AO55</f>
        <v>21033772</v>
      </c>
      <c r="AR55" s="51"/>
      <c r="AS55" s="7"/>
      <c r="AT55" s="7"/>
      <c r="AU55" s="549">
        <f>AQ55+AT55-AS55</f>
        <v>21033772</v>
      </c>
      <c r="AV55" s="51"/>
      <c r="AW55" s="7"/>
      <c r="AX55" s="7"/>
      <c r="AY55" s="549">
        <f>AU55+AX55-AW55</f>
        <v>21033772</v>
      </c>
      <c r="AZ55" s="51"/>
      <c r="BA55" s="53">
        <f t="shared" si="16"/>
        <v>0</v>
      </c>
      <c r="BB55" s="7">
        <f t="shared" si="17"/>
        <v>0</v>
      </c>
      <c r="BC55" s="549">
        <f>D55+BB55-BA55</f>
        <v>21033772</v>
      </c>
    </row>
    <row r="56" spans="1:55" ht="15">
      <c r="A56" s="537" t="s">
        <v>859</v>
      </c>
      <c r="B56" s="678" t="s">
        <v>746</v>
      </c>
      <c r="C56" s="54"/>
      <c r="D56" s="49">
        <v>4300000</v>
      </c>
      <c r="E56" s="7"/>
      <c r="F56" s="7"/>
      <c r="G56" s="546">
        <f aca="true" t="shared" si="19" ref="G56:G99">D56+F56-E56</f>
        <v>4300000</v>
      </c>
      <c r="H56" s="51"/>
      <c r="I56" s="7"/>
      <c r="J56" s="7"/>
      <c r="K56" s="549">
        <f aca="true" t="shared" si="20" ref="K56:K99">G56+J56-I56</f>
        <v>4300000</v>
      </c>
      <c r="L56" s="51"/>
      <c r="M56" s="7"/>
      <c r="N56" s="7"/>
      <c r="O56" s="549">
        <f aca="true" t="shared" si="21" ref="O56:O99">K56+N56-M56</f>
        <v>4300000</v>
      </c>
      <c r="P56" s="51"/>
      <c r="Q56" s="7"/>
      <c r="R56" s="7"/>
      <c r="S56" s="549">
        <f aca="true" t="shared" si="22" ref="S56:S99">O56+R56-Q56</f>
        <v>4300000</v>
      </c>
      <c r="T56" s="51"/>
      <c r="U56" s="7"/>
      <c r="V56" s="7"/>
      <c r="W56" s="549">
        <f aca="true" t="shared" si="23" ref="W56:W99">S56+V56-U56</f>
        <v>4300000</v>
      </c>
      <c r="X56" s="51"/>
      <c r="Y56" s="7"/>
      <c r="Z56" s="7"/>
      <c r="AA56" s="549">
        <f aca="true" t="shared" si="24" ref="AA56:AA99">W56+Z56-Y56</f>
        <v>4300000</v>
      </c>
      <c r="AB56" s="51"/>
      <c r="AC56" s="7"/>
      <c r="AD56" s="7"/>
      <c r="AE56" s="549">
        <f aca="true" t="shared" si="25" ref="AE56:AE99">AA56+AD56-AC56</f>
        <v>4300000</v>
      </c>
      <c r="AF56" s="51"/>
      <c r="AG56" s="7"/>
      <c r="AH56" s="7"/>
      <c r="AI56" s="549">
        <f aca="true" t="shared" si="26" ref="AI56:AI99">AE56+AH56-AG56</f>
        <v>4300000</v>
      </c>
      <c r="AJ56" s="51"/>
      <c r="AK56" s="7"/>
      <c r="AL56" s="7"/>
      <c r="AM56" s="549">
        <f aca="true" t="shared" si="27" ref="AM56:AM99">AI56+AL56-AK56</f>
        <v>4300000</v>
      </c>
      <c r="AN56" s="51"/>
      <c r="AO56" s="7"/>
      <c r="AP56" s="7"/>
      <c r="AQ56" s="549">
        <f aca="true" t="shared" si="28" ref="AQ56:AQ99">AM56+AP56-AO56</f>
        <v>4300000</v>
      </c>
      <c r="AR56" s="51"/>
      <c r="AS56" s="7"/>
      <c r="AT56" s="7"/>
      <c r="AU56" s="549">
        <f aca="true" t="shared" si="29" ref="AU56:AU99">AQ56+AT56-AS56</f>
        <v>4300000</v>
      </c>
      <c r="AV56" s="51"/>
      <c r="AW56" s="7"/>
      <c r="AX56" s="7"/>
      <c r="AY56" s="549">
        <f aca="true" t="shared" si="30" ref="AY56:AY99">AU56+AX56-AW56</f>
        <v>4300000</v>
      </c>
      <c r="AZ56" s="51"/>
      <c r="BA56" s="53">
        <f t="shared" si="16"/>
        <v>0</v>
      </c>
      <c r="BB56" s="7">
        <f t="shared" si="17"/>
        <v>0</v>
      </c>
      <c r="BC56" s="549">
        <f aca="true" t="shared" si="31" ref="BC56:BC99">D56+BB56-BA56</f>
        <v>4300000</v>
      </c>
    </row>
    <row r="57" spans="1:55" ht="15">
      <c r="A57" s="537" t="s">
        <v>861</v>
      </c>
      <c r="B57" s="678" t="s">
        <v>762</v>
      </c>
      <c r="C57" s="54"/>
      <c r="D57" s="49">
        <v>0</v>
      </c>
      <c r="E57" s="7"/>
      <c r="F57" s="7"/>
      <c r="G57" s="546">
        <f t="shared" si="19"/>
        <v>0</v>
      </c>
      <c r="H57" s="51"/>
      <c r="I57" s="7"/>
      <c r="J57" s="7"/>
      <c r="K57" s="549">
        <f t="shared" si="20"/>
        <v>0</v>
      </c>
      <c r="L57" s="51"/>
      <c r="M57" s="7"/>
      <c r="N57" s="7"/>
      <c r="O57" s="549">
        <f t="shared" si="21"/>
        <v>0</v>
      </c>
      <c r="P57" s="51"/>
      <c r="Q57" s="7"/>
      <c r="R57" s="7"/>
      <c r="S57" s="549">
        <f t="shared" si="22"/>
        <v>0</v>
      </c>
      <c r="T57" s="51"/>
      <c r="U57" s="7"/>
      <c r="V57" s="7"/>
      <c r="W57" s="549">
        <f t="shared" si="23"/>
        <v>0</v>
      </c>
      <c r="X57" s="51"/>
      <c r="Y57" s="7"/>
      <c r="Z57" s="7"/>
      <c r="AA57" s="549">
        <f t="shared" si="24"/>
        <v>0</v>
      </c>
      <c r="AB57" s="51"/>
      <c r="AC57" s="7"/>
      <c r="AD57" s="7"/>
      <c r="AE57" s="549">
        <f t="shared" si="25"/>
        <v>0</v>
      </c>
      <c r="AF57" s="51"/>
      <c r="AG57" s="7"/>
      <c r="AH57" s="7"/>
      <c r="AI57" s="549">
        <f t="shared" si="26"/>
        <v>0</v>
      </c>
      <c r="AJ57" s="51"/>
      <c r="AK57" s="7"/>
      <c r="AL57" s="7"/>
      <c r="AM57" s="549">
        <f t="shared" si="27"/>
        <v>0</v>
      </c>
      <c r="AN57" s="51"/>
      <c r="AO57" s="7"/>
      <c r="AP57" s="7"/>
      <c r="AQ57" s="549">
        <f t="shared" si="28"/>
        <v>0</v>
      </c>
      <c r="AR57" s="51"/>
      <c r="AS57" s="7"/>
      <c r="AT57" s="7"/>
      <c r="AU57" s="549">
        <f t="shared" si="29"/>
        <v>0</v>
      </c>
      <c r="AV57" s="51"/>
      <c r="AW57" s="7"/>
      <c r="AX57" s="7"/>
      <c r="AY57" s="549">
        <f t="shared" si="30"/>
        <v>0</v>
      </c>
      <c r="AZ57" s="51"/>
      <c r="BA57" s="53">
        <f t="shared" si="16"/>
        <v>0</v>
      </c>
      <c r="BB57" s="7">
        <f t="shared" si="17"/>
        <v>0</v>
      </c>
      <c r="BC57" s="549">
        <f t="shared" si="31"/>
        <v>0</v>
      </c>
    </row>
    <row r="58" spans="1:55" ht="15">
      <c r="A58" s="537" t="s">
        <v>863</v>
      </c>
      <c r="B58" s="678" t="s">
        <v>745</v>
      </c>
      <c r="C58" s="54"/>
      <c r="D58" s="49">
        <v>92915.58</v>
      </c>
      <c r="E58" s="7"/>
      <c r="F58" s="7"/>
      <c r="G58" s="546">
        <f t="shared" si="19"/>
        <v>92915.58</v>
      </c>
      <c r="H58" s="51"/>
      <c r="I58" s="7"/>
      <c r="J58" s="7"/>
      <c r="K58" s="549">
        <f t="shared" si="20"/>
        <v>92915.58</v>
      </c>
      <c r="L58" s="51"/>
      <c r="M58" s="7"/>
      <c r="N58" s="7"/>
      <c r="O58" s="549">
        <f t="shared" si="21"/>
        <v>92915.58</v>
      </c>
      <c r="P58" s="51"/>
      <c r="Q58" s="7"/>
      <c r="R58" s="7"/>
      <c r="S58" s="549">
        <f t="shared" si="22"/>
        <v>92915.58</v>
      </c>
      <c r="T58" s="51"/>
      <c r="U58" s="7"/>
      <c r="V58" s="7"/>
      <c r="W58" s="549">
        <f t="shared" si="23"/>
        <v>92915.58</v>
      </c>
      <c r="X58" s="51"/>
      <c r="Y58" s="7"/>
      <c r="Z58" s="7"/>
      <c r="AA58" s="549">
        <f t="shared" si="24"/>
        <v>92915.58</v>
      </c>
      <c r="AB58" s="51"/>
      <c r="AC58" s="7"/>
      <c r="AD58" s="7"/>
      <c r="AE58" s="549">
        <f t="shared" si="25"/>
        <v>92915.58</v>
      </c>
      <c r="AF58" s="51"/>
      <c r="AG58" s="7"/>
      <c r="AH58" s="7"/>
      <c r="AI58" s="549">
        <f t="shared" si="26"/>
        <v>92915.58</v>
      </c>
      <c r="AJ58" s="51"/>
      <c r="AK58" s="7"/>
      <c r="AL58" s="7"/>
      <c r="AM58" s="549">
        <f t="shared" si="27"/>
        <v>92915.58</v>
      </c>
      <c r="AN58" s="51"/>
      <c r="AO58" s="7"/>
      <c r="AP58" s="7"/>
      <c r="AQ58" s="549">
        <f t="shared" si="28"/>
        <v>92915.58</v>
      </c>
      <c r="AR58" s="51"/>
      <c r="AS58" s="7"/>
      <c r="AT58" s="7"/>
      <c r="AU58" s="549">
        <f t="shared" si="29"/>
        <v>92915.58</v>
      </c>
      <c r="AV58" s="51"/>
      <c r="AW58" s="7"/>
      <c r="AX58" s="7"/>
      <c r="AY58" s="549">
        <f t="shared" si="30"/>
        <v>92915.58</v>
      </c>
      <c r="AZ58" s="51"/>
      <c r="BA58" s="53">
        <f t="shared" si="16"/>
        <v>0</v>
      </c>
      <c r="BB58" s="7">
        <f t="shared" si="17"/>
        <v>0</v>
      </c>
      <c r="BC58" s="549">
        <f t="shared" si="31"/>
        <v>92915.58</v>
      </c>
    </row>
    <row r="59" spans="1:55" ht="14.25">
      <c r="A59" s="537">
        <v>215300</v>
      </c>
      <c r="B59" s="678" t="s">
        <v>744</v>
      </c>
      <c r="C59" s="56"/>
      <c r="D59" s="49"/>
      <c r="E59" s="7"/>
      <c r="F59" s="7"/>
      <c r="G59" s="546">
        <f t="shared" si="19"/>
        <v>0</v>
      </c>
      <c r="H59" s="51"/>
      <c r="I59" s="7"/>
      <c r="J59" s="7"/>
      <c r="K59" s="549">
        <f t="shared" si="20"/>
        <v>0</v>
      </c>
      <c r="L59" s="51"/>
      <c r="M59" s="7"/>
      <c r="N59" s="7"/>
      <c r="O59" s="549">
        <f t="shared" si="21"/>
        <v>0</v>
      </c>
      <c r="P59" s="51"/>
      <c r="Q59" s="7"/>
      <c r="R59" s="7"/>
      <c r="S59" s="549">
        <f t="shared" si="22"/>
        <v>0</v>
      </c>
      <c r="T59" s="51"/>
      <c r="U59" s="7"/>
      <c r="V59" s="7"/>
      <c r="W59" s="549">
        <f t="shared" si="23"/>
        <v>0</v>
      </c>
      <c r="X59" s="51"/>
      <c r="Y59" s="7"/>
      <c r="Z59" s="7"/>
      <c r="AA59" s="549">
        <f t="shared" si="24"/>
        <v>0</v>
      </c>
      <c r="AB59" s="51"/>
      <c r="AC59" s="7"/>
      <c r="AD59" s="7"/>
      <c r="AE59" s="549">
        <f t="shared" si="25"/>
        <v>0</v>
      </c>
      <c r="AF59" s="51"/>
      <c r="AG59" s="7"/>
      <c r="AH59" s="7"/>
      <c r="AI59" s="549">
        <f t="shared" si="26"/>
        <v>0</v>
      </c>
      <c r="AJ59" s="51"/>
      <c r="AK59" s="7"/>
      <c r="AL59" s="7"/>
      <c r="AM59" s="549">
        <f t="shared" si="27"/>
        <v>0</v>
      </c>
      <c r="AN59" s="51"/>
      <c r="AO59" s="7"/>
      <c r="AP59" s="7"/>
      <c r="AQ59" s="549">
        <f t="shared" si="28"/>
        <v>0</v>
      </c>
      <c r="AR59" s="51"/>
      <c r="AS59" s="7"/>
      <c r="AT59" s="7"/>
      <c r="AU59" s="549">
        <f t="shared" si="29"/>
        <v>0</v>
      </c>
      <c r="AV59" s="51"/>
      <c r="AW59" s="7"/>
      <c r="AX59" s="7"/>
      <c r="AY59" s="549">
        <f t="shared" si="30"/>
        <v>0</v>
      </c>
      <c r="AZ59" s="51"/>
      <c r="BA59" s="53">
        <f t="shared" si="16"/>
        <v>0</v>
      </c>
      <c r="BB59" s="7">
        <f t="shared" si="17"/>
        <v>0</v>
      </c>
      <c r="BC59" s="549">
        <f t="shared" si="31"/>
        <v>0</v>
      </c>
    </row>
    <row r="60" spans="1:55" ht="14.25">
      <c r="A60" s="537" t="s">
        <v>865</v>
      </c>
      <c r="B60" s="678" t="s">
        <v>550</v>
      </c>
      <c r="C60" s="56"/>
      <c r="D60" s="49"/>
      <c r="E60" s="7"/>
      <c r="F60" s="7"/>
      <c r="G60" s="546">
        <f t="shared" si="19"/>
        <v>0</v>
      </c>
      <c r="H60" s="51"/>
      <c r="I60" s="7"/>
      <c r="J60" s="7"/>
      <c r="K60" s="549">
        <f t="shared" si="20"/>
        <v>0</v>
      </c>
      <c r="L60" s="51"/>
      <c r="M60" s="7"/>
      <c r="N60" s="7"/>
      <c r="O60" s="549">
        <f t="shared" si="21"/>
        <v>0</v>
      </c>
      <c r="P60" s="51"/>
      <c r="Q60" s="7"/>
      <c r="R60" s="7"/>
      <c r="S60" s="549">
        <f t="shared" si="22"/>
        <v>0</v>
      </c>
      <c r="T60" s="51"/>
      <c r="U60" s="7"/>
      <c r="V60" s="7"/>
      <c r="W60" s="549">
        <f t="shared" si="23"/>
        <v>0</v>
      </c>
      <c r="X60" s="51"/>
      <c r="Y60" s="7"/>
      <c r="Z60" s="7"/>
      <c r="AA60" s="549">
        <f t="shared" si="24"/>
        <v>0</v>
      </c>
      <c r="AB60" s="51"/>
      <c r="AC60" s="7"/>
      <c r="AD60" s="7"/>
      <c r="AE60" s="549">
        <f t="shared" si="25"/>
        <v>0</v>
      </c>
      <c r="AF60" s="51"/>
      <c r="AG60" s="7"/>
      <c r="AH60" s="7"/>
      <c r="AI60" s="549">
        <f t="shared" si="26"/>
        <v>0</v>
      </c>
      <c r="AJ60" s="51"/>
      <c r="AK60" s="7"/>
      <c r="AL60" s="7"/>
      <c r="AM60" s="549">
        <f t="shared" si="27"/>
        <v>0</v>
      </c>
      <c r="AN60" s="51"/>
      <c r="AO60" s="7"/>
      <c r="AP60" s="7"/>
      <c r="AQ60" s="549">
        <f t="shared" si="28"/>
        <v>0</v>
      </c>
      <c r="AR60" s="51"/>
      <c r="AS60" s="7"/>
      <c r="AT60" s="7"/>
      <c r="AU60" s="549">
        <f t="shared" si="29"/>
        <v>0</v>
      </c>
      <c r="AV60" s="51"/>
      <c r="AW60" s="7"/>
      <c r="AX60" s="7"/>
      <c r="AY60" s="549">
        <f t="shared" si="30"/>
        <v>0</v>
      </c>
      <c r="AZ60" s="51"/>
      <c r="BA60" s="53">
        <f t="shared" si="16"/>
        <v>0</v>
      </c>
      <c r="BB60" s="7">
        <f t="shared" si="17"/>
        <v>0</v>
      </c>
      <c r="BC60" s="549">
        <f t="shared" si="31"/>
        <v>0</v>
      </c>
    </row>
    <row r="61" spans="1:55" ht="14.25">
      <c r="A61" s="543" t="s">
        <v>867</v>
      </c>
      <c r="B61" s="680" t="s">
        <v>747</v>
      </c>
      <c r="C61" s="636"/>
      <c r="D61" s="61">
        <f>SUM(D62:D72)</f>
        <v>470</v>
      </c>
      <c r="E61" s="62">
        <f>SUM(E62:E72)</f>
        <v>0</v>
      </c>
      <c r="F61" s="62">
        <f>SUM(F62:F72)</f>
        <v>0</v>
      </c>
      <c r="G61" s="63">
        <f>SUM(G62:G72)</f>
        <v>470</v>
      </c>
      <c r="H61" s="51"/>
      <c r="I61" s="62">
        <f>SUM(I62:I72)</f>
        <v>0</v>
      </c>
      <c r="J61" s="62">
        <f>SUM(J62:J72)</f>
        <v>0</v>
      </c>
      <c r="K61" s="63">
        <f>SUM(K62:K72)</f>
        <v>470</v>
      </c>
      <c r="L61" s="51"/>
      <c r="M61" s="62">
        <f>SUM(M62:M72)</f>
        <v>0</v>
      </c>
      <c r="N61" s="62">
        <f>SUM(N62:N72)</f>
        <v>0</v>
      </c>
      <c r="O61" s="63">
        <f>SUM(O62:O72)</f>
        <v>470</v>
      </c>
      <c r="P61" s="51"/>
      <c r="Q61" s="62">
        <f>SUM(Q62:Q72)</f>
        <v>0</v>
      </c>
      <c r="R61" s="62">
        <f>SUM(R62:R72)</f>
        <v>0</v>
      </c>
      <c r="S61" s="63">
        <f>SUM(S62:S72)</f>
        <v>470</v>
      </c>
      <c r="T61" s="51"/>
      <c r="U61" s="62">
        <f>SUM(U62:U72)</f>
        <v>0</v>
      </c>
      <c r="V61" s="62">
        <f>SUM(V62:V72)</f>
        <v>0</v>
      </c>
      <c r="W61" s="63">
        <f>SUM(W62:W72)</f>
        <v>470</v>
      </c>
      <c r="X61" s="51"/>
      <c r="Y61" s="62">
        <f>SUM(Y62:Y72)</f>
        <v>0</v>
      </c>
      <c r="Z61" s="62">
        <f>SUM(Z62:Z72)</f>
        <v>0</v>
      </c>
      <c r="AA61" s="63">
        <f>SUM(AA62:AA72)</f>
        <v>470</v>
      </c>
      <c r="AB61" s="51"/>
      <c r="AC61" s="62">
        <f>SUM(AC62:AC72)</f>
        <v>0</v>
      </c>
      <c r="AD61" s="62">
        <f>SUM(AD62:AD72)</f>
        <v>0</v>
      </c>
      <c r="AE61" s="63">
        <f>SUM(AE62:AE72)</f>
        <v>470</v>
      </c>
      <c r="AF61" s="51"/>
      <c r="AG61" s="62">
        <f>SUM(AG62:AG72)</f>
        <v>0</v>
      </c>
      <c r="AH61" s="62">
        <f>SUM(AH62:AH72)</f>
        <v>0</v>
      </c>
      <c r="AI61" s="63">
        <f>SUM(AI62:AI72)</f>
        <v>470</v>
      </c>
      <c r="AJ61" s="51"/>
      <c r="AK61" s="62">
        <f>SUM(AK62:AK72)</f>
        <v>0</v>
      </c>
      <c r="AL61" s="62">
        <f>SUM(AL62:AL72)</f>
        <v>0</v>
      </c>
      <c r="AM61" s="63">
        <f>SUM(AM62:AM72)</f>
        <v>470</v>
      </c>
      <c r="AN61" s="51"/>
      <c r="AO61" s="62">
        <f>SUM(AO62:AO72)</f>
        <v>0</v>
      </c>
      <c r="AP61" s="62">
        <f>SUM(AP62:AP72)</f>
        <v>0</v>
      </c>
      <c r="AQ61" s="63">
        <f>SUM(AQ62:AQ72)</f>
        <v>470</v>
      </c>
      <c r="AR61" s="51"/>
      <c r="AS61" s="62">
        <f>SUM(AS62:AS72)</f>
        <v>0</v>
      </c>
      <c r="AT61" s="62">
        <f>SUM(AT62:AT72)</f>
        <v>0</v>
      </c>
      <c r="AU61" s="63">
        <f>SUM(AU62:AU72)</f>
        <v>470</v>
      </c>
      <c r="AV61" s="51"/>
      <c r="AW61" s="62">
        <f>SUM(AW62:AW72)</f>
        <v>0</v>
      </c>
      <c r="AX61" s="62">
        <f>SUM(AX62:AX72)</f>
        <v>0</v>
      </c>
      <c r="AY61" s="63">
        <f>SUM(AY62:AY72)</f>
        <v>470</v>
      </c>
      <c r="AZ61" s="51"/>
      <c r="BA61" s="545">
        <f>SUM(BA62:BA72)</f>
        <v>0</v>
      </c>
      <c r="BB61" s="62">
        <f>SUM(BB62:BB72)</f>
        <v>0</v>
      </c>
      <c r="BC61" s="63">
        <f>SUM(BC62:BC72)</f>
        <v>470</v>
      </c>
    </row>
    <row r="62" spans="1:55" ht="14.25">
      <c r="A62" s="537" t="s">
        <v>146</v>
      </c>
      <c r="B62" s="678" t="s">
        <v>551</v>
      </c>
      <c r="C62" s="56"/>
      <c r="D62" s="49"/>
      <c r="E62" s="7"/>
      <c r="F62" s="7"/>
      <c r="G62" s="546">
        <f t="shared" si="19"/>
        <v>0</v>
      </c>
      <c r="H62" s="51"/>
      <c r="I62" s="7"/>
      <c r="J62" s="7"/>
      <c r="K62" s="549">
        <f t="shared" si="20"/>
        <v>0</v>
      </c>
      <c r="L62" s="51"/>
      <c r="M62" s="7"/>
      <c r="N62" s="7"/>
      <c r="O62" s="549">
        <f t="shared" si="21"/>
        <v>0</v>
      </c>
      <c r="P62" s="51"/>
      <c r="Q62" s="7"/>
      <c r="R62" s="7"/>
      <c r="S62" s="549">
        <f t="shared" si="22"/>
        <v>0</v>
      </c>
      <c r="T62" s="51"/>
      <c r="U62" s="7"/>
      <c r="V62" s="7"/>
      <c r="W62" s="549">
        <f t="shared" si="23"/>
        <v>0</v>
      </c>
      <c r="X62" s="51"/>
      <c r="Y62" s="7"/>
      <c r="Z62" s="7"/>
      <c r="AA62" s="549">
        <f t="shared" si="24"/>
        <v>0</v>
      </c>
      <c r="AB62" s="51"/>
      <c r="AC62" s="7"/>
      <c r="AD62" s="7"/>
      <c r="AE62" s="549">
        <f t="shared" si="25"/>
        <v>0</v>
      </c>
      <c r="AF62" s="51"/>
      <c r="AG62" s="7"/>
      <c r="AH62" s="7"/>
      <c r="AI62" s="549">
        <f t="shared" si="26"/>
        <v>0</v>
      </c>
      <c r="AJ62" s="51"/>
      <c r="AK62" s="7"/>
      <c r="AL62" s="7"/>
      <c r="AM62" s="549">
        <f t="shared" si="27"/>
        <v>0</v>
      </c>
      <c r="AN62" s="51"/>
      <c r="AO62" s="7"/>
      <c r="AP62" s="7"/>
      <c r="AQ62" s="549">
        <f t="shared" si="28"/>
        <v>0</v>
      </c>
      <c r="AR62" s="51"/>
      <c r="AS62" s="7"/>
      <c r="AT62" s="7"/>
      <c r="AU62" s="549">
        <f t="shared" si="29"/>
        <v>0</v>
      </c>
      <c r="AV62" s="51"/>
      <c r="AW62" s="7"/>
      <c r="AX62" s="7"/>
      <c r="AY62" s="549">
        <f t="shared" si="30"/>
        <v>0</v>
      </c>
      <c r="AZ62" s="51"/>
      <c r="BA62" s="53">
        <f t="shared" si="16"/>
        <v>0</v>
      </c>
      <c r="BB62" s="7">
        <f t="shared" si="17"/>
        <v>0</v>
      </c>
      <c r="BC62" s="549">
        <f t="shared" si="31"/>
        <v>0</v>
      </c>
    </row>
    <row r="63" spans="1:55" ht="15">
      <c r="A63" s="537" t="s">
        <v>158</v>
      </c>
      <c r="B63" s="678" t="s">
        <v>561</v>
      </c>
      <c r="C63" s="54"/>
      <c r="D63" s="49"/>
      <c r="E63" s="7"/>
      <c r="F63" s="7"/>
      <c r="G63" s="546">
        <f t="shared" si="19"/>
        <v>0</v>
      </c>
      <c r="H63" s="51"/>
      <c r="I63" s="7"/>
      <c r="J63" s="7"/>
      <c r="K63" s="549">
        <f t="shared" si="20"/>
        <v>0</v>
      </c>
      <c r="L63" s="51"/>
      <c r="M63" s="7"/>
      <c r="N63" s="7"/>
      <c r="O63" s="549">
        <f t="shared" si="21"/>
        <v>0</v>
      </c>
      <c r="P63" s="51"/>
      <c r="Q63" s="7"/>
      <c r="R63" s="7"/>
      <c r="S63" s="549">
        <f t="shared" si="22"/>
        <v>0</v>
      </c>
      <c r="T63" s="51"/>
      <c r="U63" s="7"/>
      <c r="V63" s="7"/>
      <c r="W63" s="549">
        <f t="shared" si="23"/>
        <v>0</v>
      </c>
      <c r="X63" s="51"/>
      <c r="Y63" s="7"/>
      <c r="Z63" s="7"/>
      <c r="AA63" s="549">
        <f t="shared" si="24"/>
        <v>0</v>
      </c>
      <c r="AB63" s="51"/>
      <c r="AC63" s="7"/>
      <c r="AD63" s="7"/>
      <c r="AE63" s="549">
        <f t="shared" si="25"/>
        <v>0</v>
      </c>
      <c r="AF63" s="51"/>
      <c r="AG63" s="7"/>
      <c r="AH63" s="7"/>
      <c r="AI63" s="549">
        <f t="shared" si="26"/>
        <v>0</v>
      </c>
      <c r="AJ63" s="51"/>
      <c r="AK63" s="7"/>
      <c r="AL63" s="7"/>
      <c r="AM63" s="549">
        <f t="shared" si="27"/>
        <v>0</v>
      </c>
      <c r="AN63" s="51"/>
      <c r="AO63" s="7"/>
      <c r="AP63" s="7"/>
      <c r="AQ63" s="549">
        <f t="shared" si="28"/>
        <v>0</v>
      </c>
      <c r="AR63" s="51"/>
      <c r="AS63" s="7"/>
      <c r="AT63" s="7"/>
      <c r="AU63" s="549">
        <f t="shared" si="29"/>
        <v>0</v>
      </c>
      <c r="AV63" s="51"/>
      <c r="AW63" s="7"/>
      <c r="AX63" s="7"/>
      <c r="AY63" s="549">
        <f t="shared" si="30"/>
        <v>0</v>
      </c>
      <c r="AZ63" s="51"/>
      <c r="BA63" s="53">
        <f t="shared" si="16"/>
        <v>0</v>
      </c>
      <c r="BB63" s="7">
        <f t="shared" si="17"/>
        <v>0</v>
      </c>
      <c r="BC63" s="549">
        <f t="shared" si="31"/>
        <v>0</v>
      </c>
    </row>
    <row r="64" spans="1:55" ht="14.25">
      <c r="A64" s="537" t="s">
        <v>159</v>
      </c>
      <c r="B64" s="678" t="s">
        <v>562</v>
      </c>
      <c r="C64" s="56"/>
      <c r="D64" s="49"/>
      <c r="E64" s="7"/>
      <c r="F64" s="7"/>
      <c r="G64" s="546">
        <f t="shared" si="19"/>
        <v>0</v>
      </c>
      <c r="H64" s="51"/>
      <c r="I64" s="7"/>
      <c r="J64" s="7"/>
      <c r="K64" s="549">
        <f t="shared" si="20"/>
        <v>0</v>
      </c>
      <c r="L64" s="51"/>
      <c r="M64" s="7"/>
      <c r="N64" s="7"/>
      <c r="O64" s="549">
        <f t="shared" si="21"/>
        <v>0</v>
      </c>
      <c r="P64" s="51"/>
      <c r="Q64" s="7"/>
      <c r="R64" s="7"/>
      <c r="S64" s="549">
        <f t="shared" si="22"/>
        <v>0</v>
      </c>
      <c r="T64" s="51"/>
      <c r="U64" s="7"/>
      <c r="V64" s="7"/>
      <c r="W64" s="549">
        <f t="shared" si="23"/>
        <v>0</v>
      </c>
      <c r="X64" s="51"/>
      <c r="Y64" s="7"/>
      <c r="Z64" s="7"/>
      <c r="AA64" s="549">
        <f t="shared" si="24"/>
        <v>0</v>
      </c>
      <c r="AB64" s="51"/>
      <c r="AC64" s="7"/>
      <c r="AD64" s="7"/>
      <c r="AE64" s="549">
        <f t="shared" si="25"/>
        <v>0</v>
      </c>
      <c r="AF64" s="51"/>
      <c r="AG64" s="7"/>
      <c r="AH64" s="7"/>
      <c r="AI64" s="549">
        <f t="shared" si="26"/>
        <v>0</v>
      </c>
      <c r="AJ64" s="51"/>
      <c r="AK64" s="7"/>
      <c r="AL64" s="7"/>
      <c r="AM64" s="549">
        <f t="shared" si="27"/>
        <v>0</v>
      </c>
      <c r="AN64" s="51"/>
      <c r="AO64" s="7"/>
      <c r="AP64" s="7"/>
      <c r="AQ64" s="549">
        <f t="shared" si="28"/>
        <v>0</v>
      </c>
      <c r="AR64" s="51"/>
      <c r="AS64" s="7"/>
      <c r="AT64" s="7"/>
      <c r="AU64" s="549">
        <f t="shared" si="29"/>
        <v>0</v>
      </c>
      <c r="AV64" s="51"/>
      <c r="AW64" s="7"/>
      <c r="AX64" s="7"/>
      <c r="AY64" s="549">
        <f t="shared" si="30"/>
        <v>0</v>
      </c>
      <c r="AZ64" s="51"/>
      <c r="BA64" s="53">
        <f t="shared" si="16"/>
        <v>0</v>
      </c>
      <c r="BB64" s="7">
        <f t="shared" si="17"/>
        <v>0</v>
      </c>
      <c r="BC64" s="549">
        <f t="shared" si="31"/>
        <v>0</v>
      </c>
    </row>
    <row r="65" spans="1:55" ht="15">
      <c r="A65" s="537" t="s">
        <v>160</v>
      </c>
      <c r="B65" s="678" t="s">
        <v>563</v>
      </c>
      <c r="C65" s="54"/>
      <c r="D65" s="49"/>
      <c r="E65" s="7"/>
      <c r="F65" s="7"/>
      <c r="G65" s="546">
        <f t="shared" si="19"/>
        <v>0</v>
      </c>
      <c r="H65" s="51"/>
      <c r="I65" s="7"/>
      <c r="J65" s="7"/>
      <c r="K65" s="549">
        <f t="shared" si="20"/>
        <v>0</v>
      </c>
      <c r="L65" s="51"/>
      <c r="M65" s="7"/>
      <c r="N65" s="7"/>
      <c r="O65" s="549">
        <f t="shared" si="21"/>
        <v>0</v>
      </c>
      <c r="P65" s="51"/>
      <c r="Q65" s="7"/>
      <c r="R65" s="7"/>
      <c r="S65" s="549">
        <f t="shared" si="22"/>
        <v>0</v>
      </c>
      <c r="T65" s="51"/>
      <c r="U65" s="7"/>
      <c r="V65" s="7"/>
      <c r="W65" s="549">
        <f t="shared" si="23"/>
        <v>0</v>
      </c>
      <c r="X65" s="51"/>
      <c r="Y65" s="7"/>
      <c r="Z65" s="7"/>
      <c r="AA65" s="549">
        <f t="shared" si="24"/>
        <v>0</v>
      </c>
      <c r="AB65" s="51"/>
      <c r="AC65" s="7"/>
      <c r="AD65" s="7"/>
      <c r="AE65" s="549">
        <f t="shared" si="25"/>
        <v>0</v>
      </c>
      <c r="AF65" s="51"/>
      <c r="AG65" s="7"/>
      <c r="AH65" s="7"/>
      <c r="AI65" s="549">
        <f t="shared" si="26"/>
        <v>0</v>
      </c>
      <c r="AJ65" s="51"/>
      <c r="AK65" s="7"/>
      <c r="AL65" s="7"/>
      <c r="AM65" s="549">
        <f t="shared" si="27"/>
        <v>0</v>
      </c>
      <c r="AN65" s="51"/>
      <c r="AO65" s="7"/>
      <c r="AP65" s="7"/>
      <c r="AQ65" s="549">
        <f t="shared" si="28"/>
        <v>0</v>
      </c>
      <c r="AR65" s="51"/>
      <c r="AS65" s="7"/>
      <c r="AT65" s="7"/>
      <c r="AU65" s="549">
        <f t="shared" si="29"/>
        <v>0</v>
      </c>
      <c r="AV65" s="51"/>
      <c r="AW65" s="7"/>
      <c r="AX65" s="7"/>
      <c r="AY65" s="549">
        <f t="shared" si="30"/>
        <v>0</v>
      </c>
      <c r="AZ65" s="51"/>
      <c r="BA65" s="53">
        <f t="shared" si="16"/>
        <v>0</v>
      </c>
      <c r="BB65" s="7">
        <f t="shared" si="17"/>
        <v>0</v>
      </c>
      <c r="BC65" s="549">
        <f t="shared" si="31"/>
        <v>0</v>
      </c>
    </row>
    <row r="66" spans="1:55" ht="14.25">
      <c r="A66" s="537" t="s">
        <v>161</v>
      </c>
      <c r="B66" s="678" t="s">
        <v>564</v>
      </c>
      <c r="C66" s="56"/>
      <c r="D66" s="49"/>
      <c r="E66" s="7"/>
      <c r="F66" s="7"/>
      <c r="G66" s="546">
        <f t="shared" si="19"/>
        <v>0</v>
      </c>
      <c r="H66" s="51"/>
      <c r="I66" s="7"/>
      <c r="J66" s="7"/>
      <c r="K66" s="549">
        <f t="shared" si="20"/>
        <v>0</v>
      </c>
      <c r="L66" s="51"/>
      <c r="M66" s="7"/>
      <c r="N66" s="7"/>
      <c r="O66" s="549">
        <f t="shared" si="21"/>
        <v>0</v>
      </c>
      <c r="P66" s="51"/>
      <c r="Q66" s="7"/>
      <c r="R66" s="7"/>
      <c r="S66" s="549">
        <f t="shared" si="22"/>
        <v>0</v>
      </c>
      <c r="T66" s="51"/>
      <c r="U66" s="7"/>
      <c r="V66" s="7"/>
      <c r="W66" s="549">
        <f t="shared" si="23"/>
        <v>0</v>
      </c>
      <c r="X66" s="51"/>
      <c r="Y66" s="7"/>
      <c r="Z66" s="7"/>
      <c r="AA66" s="549">
        <f t="shared" si="24"/>
        <v>0</v>
      </c>
      <c r="AB66" s="51"/>
      <c r="AC66" s="7"/>
      <c r="AD66" s="7"/>
      <c r="AE66" s="549">
        <f t="shared" si="25"/>
        <v>0</v>
      </c>
      <c r="AF66" s="51"/>
      <c r="AG66" s="7"/>
      <c r="AH66" s="7"/>
      <c r="AI66" s="549">
        <f t="shared" si="26"/>
        <v>0</v>
      </c>
      <c r="AJ66" s="51"/>
      <c r="AK66" s="7"/>
      <c r="AL66" s="7"/>
      <c r="AM66" s="549">
        <f t="shared" si="27"/>
        <v>0</v>
      </c>
      <c r="AN66" s="51"/>
      <c r="AO66" s="7"/>
      <c r="AP66" s="7"/>
      <c r="AQ66" s="549">
        <f t="shared" si="28"/>
        <v>0</v>
      </c>
      <c r="AR66" s="51"/>
      <c r="AS66" s="7"/>
      <c r="AT66" s="7"/>
      <c r="AU66" s="549">
        <f t="shared" si="29"/>
        <v>0</v>
      </c>
      <c r="AV66" s="51"/>
      <c r="AW66" s="7"/>
      <c r="AX66" s="7"/>
      <c r="AY66" s="549">
        <f t="shared" si="30"/>
        <v>0</v>
      </c>
      <c r="AZ66" s="51"/>
      <c r="BA66" s="53">
        <f t="shared" si="16"/>
        <v>0</v>
      </c>
      <c r="BB66" s="7">
        <f t="shared" si="17"/>
        <v>0</v>
      </c>
      <c r="BC66" s="549">
        <f t="shared" si="31"/>
        <v>0</v>
      </c>
    </row>
    <row r="67" spans="1:55" ht="14.25">
      <c r="A67" s="537" t="s">
        <v>162</v>
      </c>
      <c r="B67" s="678" t="s">
        <v>565</v>
      </c>
      <c r="C67" s="56"/>
      <c r="D67" s="49"/>
      <c r="E67" s="7"/>
      <c r="F67" s="7"/>
      <c r="G67" s="546">
        <f t="shared" si="19"/>
        <v>0</v>
      </c>
      <c r="H67" s="51"/>
      <c r="I67" s="7"/>
      <c r="J67" s="7"/>
      <c r="K67" s="549">
        <f t="shared" si="20"/>
        <v>0</v>
      </c>
      <c r="L67" s="51"/>
      <c r="M67" s="7"/>
      <c r="N67" s="7"/>
      <c r="O67" s="549">
        <f t="shared" si="21"/>
        <v>0</v>
      </c>
      <c r="P67" s="51"/>
      <c r="Q67" s="7"/>
      <c r="R67" s="7"/>
      <c r="S67" s="549">
        <f t="shared" si="22"/>
        <v>0</v>
      </c>
      <c r="T67" s="51"/>
      <c r="U67" s="7"/>
      <c r="V67" s="7"/>
      <c r="W67" s="549">
        <f t="shared" si="23"/>
        <v>0</v>
      </c>
      <c r="X67" s="51"/>
      <c r="Y67" s="7"/>
      <c r="Z67" s="7"/>
      <c r="AA67" s="549">
        <f t="shared" si="24"/>
        <v>0</v>
      </c>
      <c r="AB67" s="51"/>
      <c r="AC67" s="7"/>
      <c r="AD67" s="7"/>
      <c r="AE67" s="549">
        <f t="shared" si="25"/>
        <v>0</v>
      </c>
      <c r="AF67" s="51"/>
      <c r="AG67" s="7"/>
      <c r="AH67" s="7"/>
      <c r="AI67" s="549">
        <f t="shared" si="26"/>
        <v>0</v>
      </c>
      <c r="AJ67" s="51"/>
      <c r="AK67" s="7"/>
      <c r="AL67" s="7"/>
      <c r="AM67" s="549">
        <f t="shared" si="27"/>
        <v>0</v>
      </c>
      <c r="AN67" s="51"/>
      <c r="AO67" s="7"/>
      <c r="AP67" s="7"/>
      <c r="AQ67" s="549">
        <f t="shared" si="28"/>
        <v>0</v>
      </c>
      <c r="AR67" s="51"/>
      <c r="AS67" s="7"/>
      <c r="AT67" s="7"/>
      <c r="AU67" s="549">
        <f t="shared" si="29"/>
        <v>0</v>
      </c>
      <c r="AV67" s="51"/>
      <c r="AW67" s="7"/>
      <c r="AX67" s="7"/>
      <c r="AY67" s="549">
        <f t="shared" si="30"/>
        <v>0</v>
      </c>
      <c r="AZ67" s="51"/>
      <c r="BA67" s="53">
        <f t="shared" si="16"/>
        <v>0</v>
      </c>
      <c r="BB67" s="7">
        <f t="shared" si="17"/>
        <v>0</v>
      </c>
      <c r="BC67" s="549">
        <f t="shared" si="31"/>
        <v>0</v>
      </c>
    </row>
    <row r="68" spans="1:55" ht="14.25">
      <c r="A68" s="537" t="s">
        <v>163</v>
      </c>
      <c r="B68" s="678" t="s">
        <v>566</v>
      </c>
      <c r="C68" s="56"/>
      <c r="D68" s="49"/>
      <c r="E68" s="7"/>
      <c r="F68" s="7"/>
      <c r="G68" s="546">
        <f t="shared" si="19"/>
        <v>0</v>
      </c>
      <c r="H68" s="51"/>
      <c r="I68" s="7"/>
      <c r="J68" s="7"/>
      <c r="K68" s="549">
        <f t="shared" si="20"/>
        <v>0</v>
      </c>
      <c r="L68" s="51"/>
      <c r="M68" s="7"/>
      <c r="N68" s="7"/>
      <c r="O68" s="549">
        <f t="shared" si="21"/>
        <v>0</v>
      </c>
      <c r="P68" s="51"/>
      <c r="Q68" s="7"/>
      <c r="R68" s="7"/>
      <c r="S68" s="549">
        <f t="shared" si="22"/>
        <v>0</v>
      </c>
      <c r="T68" s="51"/>
      <c r="U68" s="7"/>
      <c r="V68" s="7"/>
      <c r="W68" s="549">
        <f t="shared" si="23"/>
        <v>0</v>
      </c>
      <c r="X68" s="51"/>
      <c r="Y68" s="7"/>
      <c r="Z68" s="7"/>
      <c r="AA68" s="549">
        <f t="shared" si="24"/>
        <v>0</v>
      </c>
      <c r="AB68" s="51"/>
      <c r="AC68" s="7"/>
      <c r="AD68" s="7"/>
      <c r="AE68" s="549">
        <f t="shared" si="25"/>
        <v>0</v>
      </c>
      <c r="AF68" s="51"/>
      <c r="AG68" s="7"/>
      <c r="AH68" s="7"/>
      <c r="AI68" s="549">
        <f t="shared" si="26"/>
        <v>0</v>
      </c>
      <c r="AJ68" s="51"/>
      <c r="AK68" s="7"/>
      <c r="AL68" s="7"/>
      <c r="AM68" s="549">
        <f t="shared" si="27"/>
        <v>0</v>
      </c>
      <c r="AN68" s="51"/>
      <c r="AO68" s="7"/>
      <c r="AP68" s="7"/>
      <c r="AQ68" s="549">
        <f t="shared" si="28"/>
        <v>0</v>
      </c>
      <c r="AR68" s="51"/>
      <c r="AS68" s="7"/>
      <c r="AT68" s="7"/>
      <c r="AU68" s="549">
        <f t="shared" si="29"/>
        <v>0</v>
      </c>
      <c r="AV68" s="51"/>
      <c r="AW68" s="7"/>
      <c r="AX68" s="7"/>
      <c r="AY68" s="549">
        <f t="shared" si="30"/>
        <v>0</v>
      </c>
      <c r="AZ68" s="51"/>
      <c r="BA68" s="53">
        <f t="shared" si="16"/>
        <v>0</v>
      </c>
      <c r="BB68" s="7">
        <f t="shared" si="17"/>
        <v>0</v>
      </c>
      <c r="BC68" s="549">
        <f t="shared" si="31"/>
        <v>0</v>
      </c>
    </row>
    <row r="69" spans="1:55" ht="14.25">
      <c r="A69" s="537" t="s">
        <v>164</v>
      </c>
      <c r="B69" s="678" t="s">
        <v>567</v>
      </c>
      <c r="C69" s="56"/>
      <c r="D69" s="49"/>
      <c r="E69" s="7"/>
      <c r="F69" s="7"/>
      <c r="G69" s="546">
        <f t="shared" si="19"/>
        <v>0</v>
      </c>
      <c r="H69" s="51"/>
      <c r="I69" s="7"/>
      <c r="J69" s="7"/>
      <c r="K69" s="549">
        <f t="shared" si="20"/>
        <v>0</v>
      </c>
      <c r="L69" s="51"/>
      <c r="M69" s="7"/>
      <c r="N69" s="7"/>
      <c r="O69" s="549">
        <f t="shared" si="21"/>
        <v>0</v>
      </c>
      <c r="P69" s="51"/>
      <c r="Q69" s="7"/>
      <c r="R69" s="7"/>
      <c r="S69" s="549">
        <f t="shared" si="22"/>
        <v>0</v>
      </c>
      <c r="T69" s="51"/>
      <c r="U69" s="7"/>
      <c r="V69" s="7"/>
      <c r="W69" s="549">
        <f t="shared" si="23"/>
        <v>0</v>
      </c>
      <c r="X69" s="51"/>
      <c r="Y69" s="7"/>
      <c r="Z69" s="7"/>
      <c r="AA69" s="549">
        <f t="shared" si="24"/>
        <v>0</v>
      </c>
      <c r="AB69" s="51"/>
      <c r="AC69" s="7"/>
      <c r="AD69" s="7"/>
      <c r="AE69" s="549">
        <f t="shared" si="25"/>
        <v>0</v>
      </c>
      <c r="AF69" s="51"/>
      <c r="AG69" s="7"/>
      <c r="AH69" s="7"/>
      <c r="AI69" s="549">
        <f t="shared" si="26"/>
        <v>0</v>
      </c>
      <c r="AJ69" s="51"/>
      <c r="AK69" s="7"/>
      <c r="AL69" s="7"/>
      <c r="AM69" s="549">
        <f t="shared" si="27"/>
        <v>0</v>
      </c>
      <c r="AN69" s="51"/>
      <c r="AO69" s="7"/>
      <c r="AP69" s="7"/>
      <c r="AQ69" s="549">
        <f t="shared" si="28"/>
        <v>0</v>
      </c>
      <c r="AR69" s="51"/>
      <c r="AS69" s="7"/>
      <c r="AT69" s="7"/>
      <c r="AU69" s="549">
        <f t="shared" si="29"/>
        <v>0</v>
      </c>
      <c r="AV69" s="51"/>
      <c r="AW69" s="7"/>
      <c r="AX69" s="7"/>
      <c r="AY69" s="549">
        <f t="shared" si="30"/>
        <v>0</v>
      </c>
      <c r="AZ69" s="51"/>
      <c r="BA69" s="53">
        <f t="shared" si="16"/>
        <v>0</v>
      </c>
      <c r="BB69" s="7">
        <f t="shared" si="17"/>
        <v>0</v>
      </c>
      <c r="BC69" s="549">
        <f t="shared" si="31"/>
        <v>0</v>
      </c>
    </row>
    <row r="70" spans="1:55" ht="14.25">
      <c r="A70" s="537" t="s">
        <v>165</v>
      </c>
      <c r="B70" s="678" t="s">
        <v>568</v>
      </c>
      <c r="C70" s="56"/>
      <c r="D70" s="49"/>
      <c r="E70" s="7"/>
      <c r="F70" s="7"/>
      <c r="G70" s="546">
        <f t="shared" si="19"/>
        <v>0</v>
      </c>
      <c r="H70" s="51"/>
      <c r="I70" s="7"/>
      <c r="J70" s="7"/>
      <c r="K70" s="549">
        <f t="shared" si="20"/>
        <v>0</v>
      </c>
      <c r="L70" s="51"/>
      <c r="M70" s="7"/>
      <c r="N70" s="7"/>
      <c r="O70" s="549">
        <f t="shared" si="21"/>
        <v>0</v>
      </c>
      <c r="P70" s="51"/>
      <c r="Q70" s="7"/>
      <c r="R70" s="7"/>
      <c r="S70" s="549">
        <f t="shared" si="22"/>
        <v>0</v>
      </c>
      <c r="T70" s="51"/>
      <c r="U70" s="7"/>
      <c r="V70" s="7"/>
      <c r="W70" s="549">
        <f t="shared" si="23"/>
        <v>0</v>
      </c>
      <c r="X70" s="51"/>
      <c r="Y70" s="7"/>
      <c r="Z70" s="7"/>
      <c r="AA70" s="549">
        <f t="shared" si="24"/>
        <v>0</v>
      </c>
      <c r="AB70" s="51"/>
      <c r="AC70" s="7"/>
      <c r="AD70" s="7"/>
      <c r="AE70" s="549">
        <f t="shared" si="25"/>
        <v>0</v>
      </c>
      <c r="AF70" s="51"/>
      <c r="AG70" s="7"/>
      <c r="AH70" s="7"/>
      <c r="AI70" s="549">
        <f t="shared" si="26"/>
        <v>0</v>
      </c>
      <c r="AJ70" s="51"/>
      <c r="AK70" s="7"/>
      <c r="AL70" s="7"/>
      <c r="AM70" s="549">
        <f t="shared" si="27"/>
        <v>0</v>
      </c>
      <c r="AN70" s="51"/>
      <c r="AO70" s="7"/>
      <c r="AP70" s="7"/>
      <c r="AQ70" s="549">
        <f t="shared" si="28"/>
        <v>0</v>
      </c>
      <c r="AR70" s="51"/>
      <c r="AS70" s="7"/>
      <c r="AT70" s="7"/>
      <c r="AU70" s="549">
        <f t="shared" si="29"/>
        <v>0</v>
      </c>
      <c r="AV70" s="51"/>
      <c r="AW70" s="7"/>
      <c r="AX70" s="7"/>
      <c r="AY70" s="549">
        <f t="shared" si="30"/>
        <v>0</v>
      </c>
      <c r="AZ70" s="51"/>
      <c r="BA70" s="53">
        <f t="shared" si="16"/>
        <v>0</v>
      </c>
      <c r="BB70" s="7">
        <f t="shared" si="17"/>
        <v>0</v>
      </c>
      <c r="BC70" s="549">
        <f t="shared" si="31"/>
        <v>0</v>
      </c>
    </row>
    <row r="71" spans="1:55" ht="15">
      <c r="A71" s="537" t="s">
        <v>166</v>
      </c>
      <c r="B71" s="678" t="s">
        <v>569</v>
      </c>
      <c r="C71" s="54"/>
      <c r="D71" s="49"/>
      <c r="E71" s="7"/>
      <c r="F71" s="7"/>
      <c r="G71" s="546">
        <f t="shared" si="19"/>
        <v>0</v>
      </c>
      <c r="H71" s="51"/>
      <c r="I71" s="7"/>
      <c r="J71" s="7"/>
      <c r="K71" s="549">
        <f t="shared" si="20"/>
        <v>0</v>
      </c>
      <c r="L71" s="51"/>
      <c r="M71" s="7"/>
      <c r="N71" s="7"/>
      <c r="O71" s="549">
        <f t="shared" si="21"/>
        <v>0</v>
      </c>
      <c r="P71" s="51"/>
      <c r="Q71" s="7"/>
      <c r="R71" s="7"/>
      <c r="S71" s="549">
        <f t="shared" si="22"/>
        <v>0</v>
      </c>
      <c r="T71" s="51"/>
      <c r="U71" s="7"/>
      <c r="V71" s="7"/>
      <c r="W71" s="549">
        <f t="shared" si="23"/>
        <v>0</v>
      </c>
      <c r="X71" s="51"/>
      <c r="Y71" s="7"/>
      <c r="Z71" s="7"/>
      <c r="AA71" s="549">
        <f t="shared" si="24"/>
        <v>0</v>
      </c>
      <c r="AB71" s="51"/>
      <c r="AC71" s="7"/>
      <c r="AD71" s="7"/>
      <c r="AE71" s="549">
        <f t="shared" si="25"/>
        <v>0</v>
      </c>
      <c r="AF71" s="51"/>
      <c r="AG71" s="7"/>
      <c r="AH71" s="7"/>
      <c r="AI71" s="549">
        <f t="shared" si="26"/>
        <v>0</v>
      </c>
      <c r="AJ71" s="51"/>
      <c r="AK71" s="7"/>
      <c r="AL71" s="7"/>
      <c r="AM71" s="549">
        <f t="shared" si="27"/>
        <v>0</v>
      </c>
      <c r="AN71" s="51"/>
      <c r="AO71" s="7"/>
      <c r="AP71" s="7"/>
      <c r="AQ71" s="549">
        <f t="shared" si="28"/>
        <v>0</v>
      </c>
      <c r="AR71" s="51"/>
      <c r="AS71" s="7"/>
      <c r="AT71" s="7"/>
      <c r="AU71" s="549">
        <f t="shared" si="29"/>
        <v>0</v>
      </c>
      <c r="AV71" s="51"/>
      <c r="AW71" s="7"/>
      <c r="AX71" s="7"/>
      <c r="AY71" s="549">
        <f t="shared" si="30"/>
        <v>0</v>
      </c>
      <c r="AZ71" s="51"/>
      <c r="BA71" s="53">
        <f t="shared" si="16"/>
        <v>0</v>
      </c>
      <c r="BB71" s="7">
        <f t="shared" si="17"/>
        <v>0</v>
      </c>
      <c r="BC71" s="549">
        <f t="shared" si="31"/>
        <v>0</v>
      </c>
    </row>
    <row r="72" spans="1:55" ht="15">
      <c r="A72" s="537" t="s">
        <v>167</v>
      </c>
      <c r="B72" s="678" t="s">
        <v>570</v>
      </c>
      <c r="C72" s="54"/>
      <c r="D72" s="49">
        <v>470</v>
      </c>
      <c r="E72" s="7"/>
      <c r="F72" s="7"/>
      <c r="G72" s="546">
        <f t="shared" si="19"/>
        <v>470</v>
      </c>
      <c r="H72" s="51"/>
      <c r="I72" s="7"/>
      <c r="J72" s="7"/>
      <c r="K72" s="549">
        <f t="shared" si="20"/>
        <v>470</v>
      </c>
      <c r="L72" s="51"/>
      <c r="M72" s="7"/>
      <c r="N72" s="7"/>
      <c r="O72" s="549">
        <f t="shared" si="21"/>
        <v>470</v>
      </c>
      <c r="P72" s="51"/>
      <c r="Q72" s="7"/>
      <c r="R72" s="7"/>
      <c r="S72" s="549">
        <f t="shared" si="22"/>
        <v>470</v>
      </c>
      <c r="T72" s="51"/>
      <c r="U72" s="7"/>
      <c r="V72" s="7"/>
      <c r="W72" s="549">
        <f t="shared" si="23"/>
        <v>470</v>
      </c>
      <c r="X72" s="51"/>
      <c r="Y72" s="7"/>
      <c r="Z72" s="7"/>
      <c r="AA72" s="549">
        <f t="shared" si="24"/>
        <v>470</v>
      </c>
      <c r="AB72" s="51"/>
      <c r="AC72" s="7"/>
      <c r="AD72" s="7"/>
      <c r="AE72" s="549">
        <f t="shared" si="25"/>
        <v>470</v>
      </c>
      <c r="AF72" s="51"/>
      <c r="AG72" s="7"/>
      <c r="AH72" s="7"/>
      <c r="AI72" s="549">
        <f t="shared" si="26"/>
        <v>470</v>
      </c>
      <c r="AJ72" s="51"/>
      <c r="AK72" s="7"/>
      <c r="AL72" s="7"/>
      <c r="AM72" s="549">
        <f t="shared" si="27"/>
        <v>470</v>
      </c>
      <c r="AN72" s="51"/>
      <c r="AO72" s="7"/>
      <c r="AP72" s="7"/>
      <c r="AQ72" s="549">
        <f t="shared" si="28"/>
        <v>470</v>
      </c>
      <c r="AR72" s="51"/>
      <c r="AS72" s="7"/>
      <c r="AT72" s="7"/>
      <c r="AU72" s="549">
        <f t="shared" si="29"/>
        <v>470</v>
      </c>
      <c r="AV72" s="51"/>
      <c r="AW72" s="7"/>
      <c r="AX72" s="7"/>
      <c r="AY72" s="549">
        <f t="shared" si="30"/>
        <v>470</v>
      </c>
      <c r="AZ72" s="51"/>
      <c r="BA72" s="53">
        <f t="shared" si="16"/>
        <v>0</v>
      </c>
      <c r="BB72" s="7">
        <f t="shared" si="17"/>
        <v>0</v>
      </c>
      <c r="BC72" s="549">
        <f t="shared" si="31"/>
        <v>470</v>
      </c>
    </row>
    <row r="73" spans="1:55" ht="14.25">
      <c r="A73" s="537" t="s">
        <v>869</v>
      </c>
      <c r="B73" s="678" t="s">
        <v>367</v>
      </c>
      <c r="C73" s="56"/>
      <c r="D73" s="49">
        <v>0</v>
      </c>
      <c r="E73" s="7"/>
      <c r="F73" s="7"/>
      <c r="G73" s="546">
        <f t="shared" si="19"/>
        <v>0</v>
      </c>
      <c r="H73" s="51"/>
      <c r="I73" s="7"/>
      <c r="J73" s="7"/>
      <c r="K73" s="549">
        <f t="shared" si="20"/>
        <v>0</v>
      </c>
      <c r="L73" s="51"/>
      <c r="M73" s="7"/>
      <c r="N73" s="7"/>
      <c r="O73" s="549">
        <f t="shared" si="21"/>
        <v>0</v>
      </c>
      <c r="P73" s="51"/>
      <c r="Q73" s="7"/>
      <c r="R73" s="7"/>
      <c r="S73" s="549">
        <f t="shared" si="22"/>
        <v>0</v>
      </c>
      <c r="T73" s="51"/>
      <c r="U73" s="7"/>
      <c r="V73" s="7"/>
      <c r="W73" s="549">
        <f t="shared" si="23"/>
        <v>0</v>
      </c>
      <c r="X73" s="51"/>
      <c r="Y73" s="7"/>
      <c r="Z73" s="7"/>
      <c r="AA73" s="549">
        <f t="shared" si="24"/>
        <v>0</v>
      </c>
      <c r="AB73" s="51"/>
      <c r="AC73" s="7"/>
      <c r="AD73" s="7"/>
      <c r="AE73" s="549">
        <f t="shared" si="25"/>
        <v>0</v>
      </c>
      <c r="AF73" s="51"/>
      <c r="AG73" s="7"/>
      <c r="AH73" s="7"/>
      <c r="AI73" s="549">
        <f t="shared" si="26"/>
        <v>0</v>
      </c>
      <c r="AJ73" s="51"/>
      <c r="AK73" s="7"/>
      <c r="AL73" s="7"/>
      <c r="AM73" s="549">
        <f t="shared" si="27"/>
        <v>0</v>
      </c>
      <c r="AN73" s="51"/>
      <c r="AO73" s="7"/>
      <c r="AP73" s="7"/>
      <c r="AQ73" s="549">
        <f t="shared" si="28"/>
        <v>0</v>
      </c>
      <c r="AR73" s="51"/>
      <c r="AS73" s="7"/>
      <c r="AT73" s="7"/>
      <c r="AU73" s="549">
        <f t="shared" si="29"/>
        <v>0</v>
      </c>
      <c r="AV73" s="51"/>
      <c r="AW73" s="7"/>
      <c r="AX73" s="7"/>
      <c r="AY73" s="549">
        <f t="shared" si="30"/>
        <v>0</v>
      </c>
      <c r="AZ73" s="51"/>
      <c r="BA73" s="53">
        <f t="shared" si="16"/>
        <v>0</v>
      </c>
      <c r="BB73" s="7">
        <f t="shared" si="17"/>
        <v>0</v>
      </c>
      <c r="BC73" s="549">
        <f t="shared" si="31"/>
        <v>0</v>
      </c>
    </row>
    <row r="74" spans="1:55" ht="15">
      <c r="A74" s="537">
        <v>218100</v>
      </c>
      <c r="B74" s="678" t="s">
        <v>813</v>
      </c>
      <c r="C74" s="54"/>
      <c r="D74" s="49">
        <v>5990309.940000005</v>
      </c>
      <c r="E74" s="7"/>
      <c r="F74" s="7"/>
      <c r="G74" s="546">
        <f t="shared" si="19"/>
        <v>5990309.940000005</v>
      </c>
      <c r="H74" s="51"/>
      <c r="I74" s="7"/>
      <c r="J74" s="7"/>
      <c r="K74" s="549">
        <f t="shared" si="20"/>
        <v>5990309.940000005</v>
      </c>
      <c r="L74" s="51"/>
      <c r="M74" s="7"/>
      <c r="N74" s="7"/>
      <c r="O74" s="549">
        <f t="shared" si="21"/>
        <v>5990309.940000005</v>
      </c>
      <c r="P74" s="51"/>
      <c r="Q74" s="7"/>
      <c r="R74" s="7"/>
      <c r="S74" s="549">
        <f t="shared" si="22"/>
        <v>5990309.940000005</v>
      </c>
      <c r="T74" s="51"/>
      <c r="U74" s="7"/>
      <c r="V74" s="7"/>
      <c r="W74" s="549">
        <f t="shared" si="23"/>
        <v>5990309.940000005</v>
      </c>
      <c r="X74" s="51"/>
      <c r="Y74" s="7"/>
      <c r="Z74" s="7"/>
      <c r="AA74" s="549">
        <f t="shared" si="24"/>
        <v>5990309.940000005</v>
      </c>
      <c r="AB74" s="51"/>
      <c r="AC74" s="7"/>
      <c r="AD74" s="7"/>
      <c r="AE74" s="549">
        <f t="shared" si="25"/>
        <v>5990309.940000005</v>
      </c>
      <c r="AF74" s="51"/>
      <c r="AG74" s="7"/>
      <c r="AH74" s="7"/>
      <c r="AI74" s="549">
        <f t="shared" si="26"/>
        <v>5990309.940000005</v>
      </c>
      <c r="AJ74" s="51"/>
      <c r="AK74" s="7"/>
      <c r="AL74" s="7"/>
      <c r="AM74" s="549">
        <f t="shared" si="27"/>
        <v>5990309.940000005</v>
      </c>
      <c r="AN74" s="51"/>
      <c r="AO74" s="7"/>
      <c r="AP74" s="7"/>
      <c r="AQ74" s="549">
        <f t="shared" si="28"/>
        <v>5990309.940000005</v>
      </c>
      <c r="AR74" s="51"/>
      <c r="AS74" s="7"/>
      <c r="AT74" s="7"/>
      <c r="AU74" s="549">
        <f t="shared" si="29"/>
        <v>5990309.940000005</v>
      </c>
      <c r="AV74" s="51"/>
      <c r="AW74" s="7"/>
      <c r="AX74" s="7"/>
      <c r="AY74" s="549">
        <f t="shared" si="30"/>
        <v>5990309.940000005</v>
      </c>
      <c r="AZ74" s="51"/>
      <c r="BA74" s="53">
        <f t="shared" si="16"/>
        <v>0</v>
      </c>
      <c r="BB74" s="7">
        <f t="shared" si="17"/>
        <v>0</v>
      </c>
      <c r="BC74" s="549">
        <f t="shared" si="31"/>
        <v>5990309.940000005</v>
      </c>
    </row>
    <row r="75" spans="1:55" ht="15">
      <c r="A75" s="537">
        <v>219100</v>
      </c>
      <c r="B75" s="678" t="s">
        <v>593</v>
      </c>
      <c r="C75" s="54"/>
      <c r="D75" s="49"/>
      <c r="E75" s="7"/>
      <c r="F75" s="7"/>
      <c r="G75" s="546">
        <f t="shared" si="19"/>
        <v>0</v>
      </c>
      <c r="H75" s="51"/>
      <c r="I75" s="7"/>
      <c r="J75" s="7"/>
      <c r="K75" s="549">
        <f t="shared" si="20"/>
        <v>0</v>
      </c>
      <c r="L75" s="51"/>
      <c r="M75" s="7"/>
      <c r="N75" s="7"/>
      <c r="O75" s="549">
        <f t="shared" si="21"/>
        <v>0</v>
      </c>
      <c r="P75" s="51"/>
      <c r="Q75" s="7"/>
      <c r="R75" s="7"/>
      <c r="S75" s="549">
        <f t="shared" si="22"/>
        <v>0</v>
      </c>
      <c r="T75" s="51"/>
      <c r="U75" s="7"/>
      <c r="V75" s="7"/>
      <c r="W75" s="549">
        <f t="shared" si="23"/>
        <v>0</v>
      </c>
      <c r="X75" s="51"/>
      <c r="Y75" s="7"/>
      <c r="Z75" s="7"/>
      <c r="AA75" s="549">
        <f t="shared" si="24"/>
        <v>0</v>
      </c>
      <c r="AB75" s="51"/>
      <c r="AC75" s="7"/>
      <c r="AD75" s="7"/>
      <c r="AE75" s="549">
        <f t="shared" si="25"/>
        <v>0</v>
      </c>
      <c r="AF75" s="51"/>
      <c r="AG75" s="7"/>
      <c r="AH75" s="7"/>
      <c r="AI75" s="549">
        <f t="shared" si="26"/>
        <v>0</v>
      </c>
      <c r="AJ75" s="51"/>
      <c r="AK75" s="7"/>
      <c r="AL75" s="7"/>
      <c r="AM75" s="549">
        <f t="shared" si="27"/>
        <v>0</v>
      </c>
      <c r="AN75" s="51"/>
      <c r="AO75" s="7"/>
      <c r="AP75" s="7"/>
      <c r="AQ75" s="549">
        <f t="shared" si="28"/>
        <v>0</v>
      </c>
      <c r="AR75" s="51"/>
      <c r="AS75" s="7"/>
      <c r="AT75" s="7"/>
      <c r="AU75" s="549">
        <f t="shared" si="29"/>
        <v>0</v>
      </c>
      <c r="AV75" s="51"/>
      <c r="AW75" s="7"/>
      <c r="AX75" s="7"/>
      <c r="AY75" s="549">
        <f t="shared" si="30"/>
        <v>0</v>
      </c>
      <c r="AZ75" s="51"/>
      <c r="BA75" s="53">
        <f t="shared" si="16"/>
        <v>0</v>
      </c>
      <c r="BB75" s="7">
        <f t="shared" si="17"/>
        <v>0</v>
      </c>
      <c r="BC75" s="549">
        <f t="shared" si="31"/>
        <v>0</v>
      </c>
    </row>
    <row r="76" spans="1:55" ht="15">
      <c r="A76" s="543" t="s">
        <v>871</v>
      </c>
      <c r="B76" s="680" t="s">
        <v>725</v>
      </c>
      <c r="C76" s="637"/>
      <c r="D76" s="61">
        <f>SUM(D77:D78)</f>
        <v>0</v>
      </c>
      <c r="E76" s="62">
        <f>SUM(E77:E78)</f>
        <v>0</v>
      </c>
      <c r="F76" s="62">
        <f>SUM(F77:F78)</f>
        <v>0</v>
      </c>
      <c r="G76" s="63">
        <f>SUM(G77:G78)</f>
        <v>0</v>
      </c>
      <c r="H76" s="51"/>
      <c r="I76" s="62">
        <f>SUM(I77:I78)</f>
        <v>0</v>
      </c>
      <c r="J76" s="62">
        <f>SUM(J77:J78)</f>
        <v>0</v>
      </c>
      <c r="K76" s="63">
        <f>SUM(K77:K78)</f>
        <v>0</v>
      </c>
      <c r="L76" s="51"/>
      <c r="M76" s="62">
        <f>SUM(M77:M78)</f>
        <v>0</v>
      </c>
      <c r="N76" s="62">
        <f>SUM(N77:N78)</f>
        <v>0</v>
      </c>
      <c r="O76" s="63">
        <f>SUM(O77:O78)</f>
        <v>0</v>
      </c>
      <c r="P76" s="51"/>
      <c r="Q76" s="62">
        <f>SUM(Q77:Q78)</f>
        <v>0</v>
      </c>
      <c r="R76" s="62">
        <f>SUM(R77:R78)</f>
        <v>0</v>
      </c>
      <c r="S76" s="63">
        <f>SUM(S77:S78)</f>
        <v>0</v>
      </c>
      <c r="T76" s="51"/>
      <c r="U76" s="62">
        <f>SUM(U77:U78)</f>
        <v>0</v>
      </c>
      <c r="V76" s="62">
        <f>SUM(V77:V78)</f>
        <v>0</v>
      </c>
      <c r="W76" s="63">
        <f>SUM(W77:W78)</f>
        <v>0</v>
      </c>
      <c r="X76" s="51"/>
      <c r="Y76" s="62">
        <f>SUM(Y77:Y78)</f>
        <v>0</v>
      </c>
      <c r="Z76" s="62">
        <f>SUM(Z77:Z78)</f>
        <v>0</v>
      </c>
      <c r="AA76" s="63">
        <f>SUM(AA77:AA78)</f>
        <v>0</v>
      </c>
      <c r="AB76" s="51"/>
      <c r="AC76" s="62">
        <f>SUM(AC77:AC78)</f>
        <v>0</v>
      </c>
      <c r="AD76" s="62">
        <f>SUM(AD77:AD78)</f>
        <v>0</v>
      </c>
      <c r="AE76" s="63">
        <f>SUM(AE77:AE78)</f>
        <v>0</v>
      </c>
      <c r="AF76" s="51"/>
      <c r="AG76" s="62">
        <f>SUM(AG77:AG78)</f>
        <v>0</v>
      </c>
      <c r="AH76" s="62">
        <f>SUM(AH77:AH78)</f>
        <v>0</v>
      </c>
      <c r="AI76" s="63">
        <f>SUM(AI77:AI78)</f>
        <v>0</v>
      </c>
      <c r="AJ76" s="51"/>
      <c r="AK76" s="62">
        <f>SUM(AK77:AK78)</f>
        <v>0</v>
      </c>
      <c r="AL76" s="62">
        <f>SUM(AL77:AL78)</f>
        <v>0</v>
      </c>
      <c r="AM76" s="63">
        <f>SUM(AM77:AM78)</f>
        <v>0</v>
      </c>
      <c r="AN76" s="51"/>
      <c r="AO76" s="62">
        <f>SUM(AO77:AO78)</f>
        <v>0</v>
      </c>
      <c r="AP76" s="62">
        <f>SUM(AP77:AP78)</f>
        <v>0</v>
      </c>
      <c r="AQ76" s="63">
        <f>SUM(AQ77:AQ78)</f>
        <v>0</v>
      </c>
      <c r="AR76" s="51"/>
      <c r="AS76" s="62">
        <f>SUM(AS77:AS78)</f>
        <v>0</v>
      </c>
      <c r="AT76" s="62">
        <f>SUM(AT77:AT78)</f>
        <v>0</v>
      </c>
      <c r="AU76" s="63">
        <f>SUM(AU77:AU78)</f>
        <v>0</v>
      </c>
      <c r="AV76" s="51"/>
      <c r="AW76" s="62">
        <f>SUM(AW77:AW78)</f>
        <v>0</v>
      </c>
      <c r="AX76" s="62">
        <f>SUM(AX77:AX78)</f>
        <v>0</v>
      </c>
      <c r="AY76" s="63">
        <f>SUM(AY77:AY78)</f>
        <v>0</v>
      </c>
      <c r="AZ76" s="51"/>
      <c r="BA76" s="545">
        <f>SUM(BA77:BA78)</f>
        <v>0</v>
      </c>
      <c r="BB76" s="62">
        <f>SUM(BB77:BB78)</f>
        <v>0</v>
      </c>
      <c r="BC76" s="63">
        <f>SUM(BC77:BC78)</f>
        <v>0</v>
      </c>
    </row>
    <row r="77" spans="1:55" ht="15">
      <c r="A77" s="537" t="s">
        <v>176</v>
      </c>
      <c r="B77" s="678" t="s">
        <v>571</v>
      </c>
      <c r="C77" s="54"/>
      <c r="D77" s="49"/>
      <c r="E77" s="7"/>
      <c r="F77" s="7"/>
      <c r="G77" s="546">
        <f t="shared" si="19"/>
        <v>0</v>
      </c>
      <c r="H77" s="51"/>
      <c r="I77" s="7"/>
      <c r="J77" s="7"/>
      <c r="K77" s="549">
        <f t="shared" si="20"/>
        <v>0</v>
      </c>
      <c r="L77" s="51"/>
      <c r="M77" s="7"/>
      <c r="N77" s="7"/>
      <c r="O77" s="549">
        <f t="shared" si="21"/>
        <v>0</v>
      </c>
      <c r="P77" s="51"/>
      <c r="Q77" s="7"/>
      <c r="R77" s="7"/>
      <c r="S77" s="549">
        <f t="shared" si="22"/>
        <v>0</v>
      </c>
      <c r="T77" s="51"/>
      <c r="U77" s="7"/>
      <c r="V77" s="7"/>
      <c r="W77" s="549">
        <f t="shared" si="23"/>
        <v>0</v>
      </c>
      <c r="X77" s="51"/>
      <c r="Y77" s="7"/>
      <c r="Z77" s="7"/>
      <c r="AA77" s="549">
        <f t="shared" si="24"/>
        <v>0</v>
      </c>
      <c r="AB77" s="51"/>
      <c r="AC77" s="7"/>
      <c r="AD77" s="7"/>
      <c r="AE77" s="549">
        <f t="shared" si="25"/>
        <v>0</v>
      </c>
      <c r="AF77" s="51"/>
      <c r="AG77" s="7"/>
      <c r="AH77" s="7"/>
      <c r="AI77" s="549">
        <f t="shared" si="26"/>
        <v>0</v>
      </c>
      <c r="AJ77" s="51"/>
      <c r="AK77" s="7"/>
      <c r="AL77" s="7"/>
      <c r="AM77" s="549">
        <f t="shared" si="27"/>
        <v>0</v>
      </c>
      <c r="AN77" s="51"/>
      <c r="AO77" s="7"/>
      <c r="AP77" s="7"/>
      <c r="AQ77" s="549">
        <f t="shared" si="28"/>
        <v>0</v>
      </c>
      <c r="AR77" s="51"/>
      <c r="AS77" s="7"/>
      <c r="AT77" s="7"/>
      <c r="AU77" s="549">
        <f t="shared" si="29"/>
        <v>0</v>
      </c>
      <c r="AV77" s="51"/>
      <c r="AW77" s="7"/>
      <c r="AX77" s="7"/>
      <c r="AY77" s="549">
        <f t="shared" si="30"/>
        <v>0</v>
      </c>
      <c r="AZ77" s="51"/>
      <c r="BA77" s="53">
        <f t="shared" si="16"/>
        <v>0</v>
      </c>
      <c r="BB77" s="7">
        <f t="shared" si="17"/>
        <v>0</v>
      </c>
      <c r="BC77" s="549">
        <f t="shared" si="31"/>
        <v>0</v>
      </c>
    </row>
    <row r="78" spans="1:55" ht="15">
      <c r="A78" s="537" t="s">
        <v>177</v>
      </c>
      <c r="B78" s="678" t="s">
        <v>572</v>
      </c>
      <c r="C78" s="54"/>
      <c r="D78" s="49"/>
      <c r="E78" s="7"/>
      <c r="F78" s="7"/>
      <c r="G78" s="546">
        <f t="shared" si="19"/>
        <v>0</v>
      </c>
      <c r="H78" s="51"/>
      <c r="I78" s="7"/>
      <c r="J78" s="7"/>
      <c r="K78" s="549">
        <f t="shared" si="20"/>
        <v>0</v>
      </c>
      <c r="L78" s="51"/>
      <c r="M78" s="7"/>
      <c r="N78" s="7"/>
      <c r="O78" s="549">
        <f t="shared" si="21"/>
        <v>0</v>
      </c>
      <c r="P78" s="51"/>
      <c r="Q78" s="7"/>
      <c r="R78" s="7"/>
      <c r="S78" s="549">
        <f t="shared" si="22"/>
        <v>0</v>
      </c>
      <c r="T78" s="51"/>
      <c r="U78" s="7"/>
      <c r="V78" s="7"/>
      <c r="W78" s="549">
        <f t="shared" si="23"/>
        <v>0</v>
      </c>
      <c r="X78" s="51"/>
      <c r="Y78" s="7"/>
      <c r="Z78" s="7"/>
      <c r="AA78" s="549">
        <f t="shared" si="24"/>
        <v>0</v>
      </c>
      <c r="AB78" s="51"/>
      <c r="AC78" s="7"/>
      <c r="AD78" s="7"/>
      <c r="AE78" s="549">
        <f t="shared" si="25"/>
        <v>0</v>
      </c>
      <c r="AF78" s="51"/>
      <c r="AG78" s="7"/>
      <c r="AH78" s="7"/>
      <c r="AI78" s="549">
        <f t="shared" si="26"/>
        <v>0</v>
      </c>
      <c r="AJ78" s="51"/>
      <c r="AK78" s="7"/>
      <c r="AL78" s="7"/>
      <c r="AM78" s="549">
        <f t="shared" si="27"/>
        <v>0</v>
      </c>
      <c r="AN78" s="51"/>
      <c r="AO78" s="7"/>
      <c r="AP78" s="7"/>
      <c r="AQ78" s="549">
        <f t="shared" si="28"/>
        <v>0</v>
      </c>
      <c r="AR78" s="51"/>
      <c r="AS78" s="7"/>
      <c r="AT78" s="7"/>
      <c r="AU78" s="549">
        <f t="shared" si="29"/>
        <v>0</v>
      </c>
      <c r="AV78" s="51"/>
      <c r="AW78" s="7"/>
      <c r="AX78" s="7"/>
      <c r="AY78" s="549">
        <f t="shared" si="30"/>
        <v>0</v>
      </c>
      <c r="AZ78" s="51"/>
      <c r="BA78" s="53">
        <f t="shared" si="16"/>
        <v>0</v>
      </c>
      <c r="BB78" s="7">
        <f t="shared" si="17"/>
        <v>0</v>
      </c>
      <c r="BC78" s="549">
        <f t="shared" si="31"/>
        <v>0</v>
      </c>
    </row>
    <row r="79" spans="1:55" ht="14.25">
      <c r="A79" s="537" t="s">
        <v>873</v>
      </c>
      <c r="B79" s="678" t="s">
        <v>720</v>
      </c>
      <c r="C79" s="56"/>
      <c r="D79" s="542"/>
      <c r="E79" s="540"/>
      <c r="F79" s="540"/>
      <c r="G79" s="546">
        <f t="shared" si="19"/>
        <v>0</v>
      </c>
      <c r="H79" s="51"/>
      <c r="I79" s="540"/>
      <c r="J79" s="540"/>
      <c r="K79" s="549">
        <f t="shared" si="20"/>
        <v>0</v>
      </c>
      <c r="L79" s="51"/>
      <c r="M79" s="540"/>
      <c r="N79" s="540"/>
      <c r="O79" s="549">
        <f t="shared" si="21"/>
        <v>0</v>
      </c>
      <c r="P79" s="51"/>
      <c r="Q79" s="540"/>
      <c r="R79" s="540"/>
      <c r="S79" s="549">
        <f t="shared" si="22"/>
        <v>0</v>
      </c>
      <c r="T79" s="51"/>
      <c r="U79" s="540"/>
      <c r="V79" s="540"/>
      <c r="W79" s="549">
        <f t="shared" si="23"/>
        <v>0</v>
      </c>
      <c r="X79" s="51"/>
      <c r="Y79" s="540"/>
      <c r="Z79" s="540"/>
      <c r="AA79" s="549">
        <f t="shared" si="24"/>
        <v>0</v>
      </c>
      <c r="AB79" s="51"/>
      <c r="AC79" s="540"/>
      <c r="AD79" s="540"/>
      <c r="AE79" s="549">
        <f t="shared" si="25"/>
        <v>0</v>
      </c>
      <c r="AF79" s="51"/>
      <c r="AG79" s="540"/>
      <c r="AH79" s="540"/>
      <c r="AI79" s="549">
        <f t="shared" si="26"/>
        <v>0</v>
      </c>
      <c r="AJ79" s="51"/>
      <c r="AK79" s="540"/>
      <c r="AL79" s="540"/>
      <c r="AM79" s="549">
        <f t="shared" si="27"/>
        <v>0</v>
      </c>
      <c r="AN79" s="51"/>
      <c r="AO79" s="540"/>
      <c r="AP79" s="540"/>
      <c r="AQ79" s="549">
        <f t="shared" si="28"/>
        <v>0</v>
      </c>
      <c r="AR79" s="51"/>
      <c r="AS79" s="540"/>
      <c r="AT79" s="540"/>
      <c r="AU79" s="549">
        <f t="shared" si="29"/>
        <v>0</v>
      </c>
      <c r="AV79" s="51"/>
      <c r="AW79" s="540"/>
      <c r="AX79" s="540"/>
      <c r="AY79" s="549">
        <f t="shared" si="30"/>
        <v>0</v>
      </c>
      <c r="AZ79" s="51"/>
      <c r="BA79" s="541">
        <f t="shared" si="16"/>
        <v>0</v>
      </c>
      <c r="BB79" s="540">
        <f t="shared" si="17"/>
        <v>0</v>
      </c>
      <c r="BC79" s="549">
        <f t="shared" si="31"/>
        <v>0</v>
      </c>
    </row>
    <row r="80" spans="1:55" ht="14.25">
      <c r="A80" s="537" t="s">
        <v>875</v>
      </c>
      <c r="B80" s="678" t="s">
        <v>721</v>
      </c>
      <c r="C80" s="56"/>
      <c r="D80" s="49">
        <v>0</v>
      </c>
      <c r="E80" s="7"/>
      <c r="F80" s="7"/>
      <c r="G80" s="546">
        <f t="shared" si="19"/>
        <v>0</v>
      </c>
      <c r="H80" s="51"/>
      <c r="I80" s="7"/>
      <c r="J80" s="7"/>
      <c r="K80" s="549">
        <f t="shared" si="20"/>
        <v>0</v>
      </c>
      <c r="L80" s="51"/>
      <c r="M80" s="7"/>
      <c r="N80" s="7"/>
      <c r="O80" s="549">
        <f t="shared" si="21"/>
        <v>0</v>
      </c>
      <c r="P80" s="51"/>
      <c r="Q80" s="7"/>
      <c r="R80" s="7"/>
      <c r="S80" s="549">
        <f t="shared" si="22"/>
        <v>0</v>
      </c>
      <c r="T80" s="51"/>
      <c r="U80" s="7"/>
      <c r="V80" s="7"/>
      <c r="W80" s="549">
        <f t="shared" si="23"/>
        <v>0</v>
      </c>
      <c r="X80" s="51"/>
      <c r="Y80" s="7"/>
      <c r="Z80" s="7"/>
      <c r="AA80" s="549">
        <f t="shared" si="24"/>
        <v>0</v>
      </c>
      <c r="AB80" s="51"/>
      <c r="AC80" s="7"/>
      <c r="AD80" s="7"/>
      <c r="AE80" s="549">
        <f t="shared" si="25"/>
        <v>0</v>
      </c>
      <c r="AF80" s="51"/>
      <c r="AG80" s="7"/>
      <c r="AH80" s="7"/>
      <c r="AI80" s="549">
        <f t="shared" si="26"/>
        <v>0</v>
      </c>
      <c r="AJ80" s="51"/>
      <c r="AK80" s="7"/>
      <c r="AL80" s="7"/>
      <c r="AM80" s="549">
        <f t="shared" si="27"/>
        <v>0</v>
      </c>
      <c r="AN80" s="51"/>
      <c r="AO80" s="7"/>
      <c r="AP80" s="7"/>
      <c r="AQ80" s="549">
        <f t="shared" si="28"/>
        <v>0</v>
      </c>
      <c r="AR80" s="51"/>
      <c r="AS80" s="7"/>
      <c r="AT80" s="7"/>
      <c r="AU80" s="549">
        <f t="shared" si="29"/>
        <v>0</v>
      </c>
      <c r="AV80" s="51"/>
      <c r="AW80" s="7"/>
      <c r="AX80" s="7"/>
      <c r="AY80" s="549">
        <f t="shared" si="30"/>
        <v>0</v>
      </c>
      <c r="AZ80" s="51"/>
      <c r="BA80" s="53">
        <f t="shared" si="16"/>
        <v>0</v>
      </c>
      <c r="BB80" s="7">
        <f t="shared" si="17"/>
        <v>0</v>
      </c>
      <c r="BC80" s="549">
        <f t="shared" si="31"/>
        <v>0</v>
      </c>
    </row>
    <row r="81" spans="1:55" ht="14.25">
      <c r="A81" s="537" t="s">
        <v>877</v>
      </c>
      <c r="B81" s="678" t="s">
        <v>740</v>
      </c>
      <c r="C81" s="56"/>
      <c r="D81" s="49">
        <v>3000000</v>
      </c>
      <c r="E81" s="7"/>
      <c r="F81" s="7"/>
      <c r="G81" s="546">
        <f t="shared" si="19"/>
        <v>3000000</v>
      </c>
      <c r="H81" s="51"/>
      <c r="I81" s="7"/>
      <c r="J81" s="7"/>
      <c r="K81" s="549">
        <f t="shared" si="20"/>
        <v>3000000</v>
      </c>
      <c r="L81" s="51"/>
      <c r="M81" s="7"/>
      <c r="N81" s="7"/>
      <c r="O81" s="549">
        <f t="shared" si="21"/>
        <v>3000000</v>
      </c>
      <c r="P81" s="51"/>
      <c r="Q81" s="7"/>
      <c r="R81" s="7"/>
      <c r="S81" s="549">
        <f t="shared" si="22"/>
        <v>3000000</v>
      </c>
      <c r="T81" s="51"/>
      <c r="U81" s="7"/>
      <c r="V81" s="7"/>
      <c r="W81" s="549">
        <f t="shared" si="23"/>
        <v>3000000</v>
      </c>
      <c r="X81" s="51"/>
      <c r="Y81" s="7"/>
      <c r="Z81" s="7"/>
      <c r="AA81" s="549">
        <f t="shared" si="24"/>
        <v>3000000</v>
      </c>
      <c r="AB81" s="51"/>
      <c r="AC81" s="7"/>
      <c r="AD81" s="7"/>
      <c r="AE81" s="549">
        <f t="shared" si="25"/>
        <v>3000000</v>
      </c>
      <c r="AF81" s="51"/>
      <c r="AG81" s="7"/>
      <c r="AH81" s="7"/>
      <c r="AI81" s="549">
        <f t="shared" si="26"/>
        <v>3000000</v>
      </c>
      <c r="AJ81" s="51"/>
      <c r="AK81" s="7"/>
      <c r="AL81" s="7"/>
      <c r="AM81" s="549">
        <f t="shared" si="27"/>
        <v>3000000</v>
      </c>
      <c r="AN81" s="51"/>
      <c r="AO81" s="7"/>
      <c r="AP81" s="7"/>
      <c r="AQ81" s="549">
        <f t="shared" si="28"/>
        <v>3000000</v>
      </c>
      <c r="AR81" s="51"/>
      <c r="AS81" s="7"/>
      <c r="AT81" s="7"/>
      <c r="AU81" s="549">
        <f t="shared" si="29"/>
        <v>3000000</v>
      </c>
      <c r="AV81" s="51"/>
      <c r="AW81" s="7"/>
      <c r="AX81" s="7"/>
      <c r="AY81" s="549">
        <f t="shared" si="30"/>
        <v>3000000</v>
      </c>
      <c r="AZ81" s="51"/>
      <c r="BA81" s="53">
        <f t="shared" si="16"/>
        <v>0</v>
      </c>
      <c r="BB81" s="7">
        <f t="shared" si="17"/>
        <v>0</v>
      </c>
      <c r="BC81" s="549">
        <f t="shared" si="31"/>
        <v>3000000</v>
      </c>
    </row>
    <row r="82" spans="1:55" ht="14.25">
      <c r="A82" s="543" t="s">
        <v>879</v>
      </c>
      <c r="B82" s="680" t="s">
        <v>757</v>
      </c>
      <c r="C82" s="636"/>
      <c r="D82" s="61">
        <f>SUM(D83:D86)</f>
        <v>0</v>
      </c>
      <c r="E82" s="62">
        <f>SUM(E83:E86)</f>
        <v>0</v>
      </c>
      <c r="F82" s="62">
        <f>SUM(F83:F86)</f>
        <v>0</v>
      </c>
      <c r="G82" s="63">
        <f>SUM(G83:G86)</f>
        <v>0</v>
      </c>
      <c r="H82" s="51"/>
      <c r="I82" s="62">
        <f>SUM(I83:I86)</f>
        <v>0</v>
      </c>
      <c r="J82" s="62">
        <f>SUM(J83:J86)</f>
        <v>0</v>
      </c>
      <c r="K82" s="63">
        <f>SUM(K83:K86)</f>
        <v>0</v>
      </c>
      <c r="L82" s="51"/>
      <c r="M82" s="62">
        <f>SUM(M83:M86)</f>
        <v>0</v>
      </c>
      <c r="N82" s="62">
        <f>SUM(N83:N86)</f>
        <v>0</v>
      </c>
      <c r="O82" s="63">
        <f>SUM(O83:O86)</f>
        <v>0</v>
      </c>
      <c r="P82" s="51"/>
      <c r="Q82" s="62">
        <f>SUM(Q83:Q86)</f>
        <v>0</v>
      </c>
      <c r="R82" s="62">
        <f>SUM(R83:R86)</f>
        <v>0</v>
      </c>
      <c r="S82" s="63">
        <f>SUM(S83:S86)</f>
        <v>0</v>
      </c>
      <c r="T82" s="51"/>
      <c r="U82" s="62">
        <f>SUM(U83:U86)</f>
        <v>0</v>
      </c>
      <c r="V82" s="62">
        <f>SUM(V83:V86)</f>
        <v>0</v>
      </c>
      <c r="W82" s="63">
        <f>SUM(W83:W86)</f>
        <v>0</v>
      </c>
      <c r="X82" s="51"/>
      <c r="Y82" s="62">
        <f>SUM(Y83:Y86)</f>
        <v>0</v>
      </c>
      <c r="Z82" s="62">
        <f>SUM(Z83:Z86)</f>
        <v>0</v>
      </c>
      <c r="AA82" s="63">
        <f>SUM(AA83:AA86)</f>
        <v>0</v>
      </c>
      <c r="AB82" s="51"/>
      <c r="AC82" s="62">
        <f>SUM(AC83:AC86)</f>
        <v>0</v>
      </c>
      <c r="AD82" s="62">
        <f>SUM(AD83:AD86)</f>
        <v>0</v>
      </c>
      <c r="AE82" s="63">
        <f>SUM(AE83:AE86)</f>
        <v>0</v>
      </c>
      <c r="AF82" s="51"/>
      <c r="AG82" s="62">
        <f>SUM(AG83:AG86)</f>
        <v>0</v>
      </c>
      <c r="AH82" s="62">
        <f>SUM(AH83:AH86)</f>
        <v>0</v>
      </c>
      <c r="AI82" s="63">
        <f>SUM(AI83:AI86)</f>
        <v>0</v>
      </c>
      <c r="AJ82" s="51"/>
      <c r="AK82" s="62">
        <f>SUM(AK83:AK86)</f>
        <v>0</v>
      </c>
      <c r="AL82" s="62">
        <f>SUM(AL83:AL86)</f>
        <v>0</v>
      </c>
      <c r="AM82" s="63">
        <f>SUM(AM83:AM86)</f>
        <v>0</v>
      </c>
      <c r="AN82" s="51"/>
      <c r="AO82" s="62">
        <f>SUM(AO83:AO86)</f>
        <v>0</v>
      </c>
      <c r="AP82" s="62">
        <f>SUM(AP83:AP86)</f>
        <v>0</v>
      </c>
      <c r="AQ82" s="63">
        <f>SUM(AQ83:AQ86)</f>
        <v>0</v>
      </c>
      <c r="AR82" s="51"/>
      <c r="AS82" s="62">
        <f>SUM(AS83:AS86)</f>
        <v>0</v>
      </c>
      <c r="AT82" s="62">
        <f>SUM(AT83:AT86)</f>
        <v>0</v>
      </c>
      <c r="AU82" s="63">
        <f>SUM(AU83:AU86)</f>
        <v>0</v>
      </c>
      <c r="AV82" s="51"/>
      <c r="AW82" s="62">
        <f>SUM(AW83:AW86)</f>
        <v>0</v>
      </c>
      <c r="AX82" s="62">
        <f>SUM(AX83:AX86)</f>
        <v>0</v>
      </c>
      <c r="AY82" s="63">
        <f>SUM(AY83:AY86)</f>
        <v>0</v>
      </c>
      <c r="AZ82" s="51"/>
      <c r="BA82" s="545">
        <f>SUM(BA83:BA86)</f>
        <v>0</v>
      </c>
      <c r="BB82" s="62">
        <f>SUM(BB83:BB86)</f>
        <v>0</v>
      </c>
      <c r="BC82" s="63">
        <f>SUM(BC83:BC86)</f>
        <v>0</v>
      </c>
    </row>
    <row r="83" spans="1:55" ht="14.25">
      <c r="A83" s="537" t="s">
        <v>186</v>
      </c>
      <c r="B83" s="678" t="s">
        <v>574</v>
      </c>
      <c r="C83" s="56"/>
      <c r="D83" s="49"/>
      <c r="E83" s="7"/>
      <c r="F83" s="7"/>
      <c r="G83" s="546">
        <f t="shared" si="19"/>
        <v>0</v>
      </c>
      <c r="H83" s="51"/>
      <c r="I83" s="7"/>
      <c r="J83" s="7"/>
      <c r="K83" s="549">
        <f t="shared" si="20"/>
        <v>0</v>
      </c>
      <c r="L83" s="51"/>
      <c r="M83" s="7"/>
      <c r="N83" s="7"/>
      <c r="O83" s="549">
        <f t="shared" si="21"/>
        <v>0</v>
      </c>
      <c r="P83" s="51"/>
      <c r="Q83" s="7"/>
      <c r="R83" s="7"/>
      <c r="S83" s="549">
        <f t="shared" si="22"/>
        <v>0</v>
      </c>
      <c r="T83" s="51"/>
      <c r="U83" s="7"/>
      <c r="V83" s="7"/>
      <c r="W83" s="549">
        <f t="shared" si="23"/>
        <v>0</v>
      </c>
      <c r="X83" s="51"/>
      <c r="Y83" s="7"/>
      <c r="Z83" s="7"/>
      <c r="AA83" s="549">
        <f t="shared" si="24"/>
        <v>0</v>
      </c>
      <c r="AB83" s="51"/>
      <c r="AC83" s="7"/>
      <c r="AD83" s="7"/>
      <c r="AE83" s="549">
        <f t="shared" si="25"/>
        <v>0</v>
      </c>
      <c r="AF83" s="51"/>
      <c r="AG83" s="7"/>
      <c r="AH83" s="7"/>
      <c r="AI83" s="549">
        <f t="shared" si="26"/>
        <v>0</v>
      </c>
      <c r="AJ83" s="51"/>
      <c r="AK83" s="7"/>
      <c r="AL83" s="7"/>
      <c r="AM83" s="549">
        <f t="shared" si="27"/>
        <v>0</v>
      </c>
      <c r="AN83" s="51"/>
      <c r="AO83" s="7"/>
      <c r="AP83" s="7"/>
      <c r="AQ83" s="549">
        <f t="shared" si="28"/>
        <v>0</v>
      </c>
      <c r="AR83" s="51"/>
      <c r="AS83" s="7"/>
      <c r="AT83" s="7"/>
      <c r="AU83" s="549">
        <f t="shared" si="29"/>
        <v>0</v>
      </c>
      <c r="AV83" s="51"/>
      <c r="AW83" s="7"/>
      <c r="AX83" s="7"/>
      <c r="AY83" s="549">
        <f t="shared" si="30"/>
        <v>0</v>
      </c>
      <c r="AZ83" s="51"/>
      <c r="BA83" s="53">
        <f t="shared" si="16"/>
        <v>0</v>
      </c>
      <c r="BB83" s="7">
        <f t="shared" si="17"/>
        <v>0</v>
      </c>
      <c r="BC83" s="549">
        <f t="shared" si="31"/>
        <v>0</v>
      </c>
    </row>
    <row r="84" spans="1:55" ht="14.25">
      <c r="A84" s="537" t="s">
        <v>187</v>
      </c>
      <c r="B84" s="678" t="s">
        <v>575</v>
      </c>
      <c r="C84" s="56"/>
      <c r="D84" s="49"/>
      <c r="E84" s="7"/>
      <c r="F84" s="7"/>
      <c r="G84" s="546">
        <f t="shared" si="19"/>
        <v>0</v>
      </c>
      <c r="H84" s="51"/>
      <c r="I84" s="7"/>
      <c r="J84" s="7"/>
      <c r="K84" s="549">
        <f t="shared" si="20"/>
        <v>0</v>
      </c>
      <c r="L84" s="51"/>
      <c r="M84" s="7"/>
      <c r="N84" s="7"/>
      <c r="O84" s="549">
        <f t="shared" si="21"/>
        <v>0</v>
      </c>
      <c r="P84" s="51"/>
      <c r="Q84" s="7"/>
      <c r="R84" s="7"/>
      <c r="S84" s="549">
        <f t="shared" si="22"/>
        <v>0</v>
      </c>
      <c r="T84" s="51"/>
      <c r="U84" s="7"/>
      <c r="V84" s="7"/>
      <c r="W84" s="549">
        <f t="shared" si="23"/>
        <v>0</v>
      </c>
      <c r="X84" s="51"/>
      <c r="Y84" s="7"/>
      <c r="Z84" s="7"/>
      <c r="AA84" s="549">
        <f t="shared" si="24"/>
        <v>0</v>
      </c>
      <c r="AB84" s="51"/>
      <c r="AC84" s="7"/>
      <c r="AD84" s="7"/>
      <c r="AE84" s="549">
        <f t="shared" si="25"/>
        <v>0</v>
      </c>
      <c r="AF84" s="51"/>
      <c r="AG84" s="7"/>
      <c r="AH84" s="7"/>
      <c r="AI84" s="549">
        <f t="shared" si="26"/>
        <v>0</v>
      </c>
      <c r="AJ84" s="51"/>
      <c r="AK84" s="7"/>
      <c r="AL84" s="7"/>
      <c r="AM84" s="549">
        <f t="shared" si="27"/>
        <v>0</v>
      </c>
      <c r="AN84" s="51"/>
      <c r="AO84" s="7"/>
      <c r="AP84" s="7"/>
      <c r="AQ84" s="549">
        <f t="shared" si="28"/>
        <v>0</v>
      </c>
      <c r="AR84" s="51"/>
      <c r="AS84" s="7"/>
      <c r="AT84" s="7"/>
      <c r="AU84" s="549">
        <f t="shared" si="29"/>
        <v>0</v>
      </c>
      <c r="AV84" s="51"/>
      <c r="AW84" s="7"/>
      <c r="AX84" s="7"/>
      <c r="AY84" s="549">
        <f t="shared" si="30"/>
        <v>0</v>
      </c>
      <c r="AZ84" s="51"/>
      <c r="BA84" s="53">
        <f t="shared" si="16"/>
        <v>0</v>
      </c>
      <c r="BB84" s="7">
        <f t="shared" si="17"/>
        <v>0</v>
      </c>
      <c r="BC84" s="549">
        <f t="shared" si="31"/>
        <v>0</v>
      </c>
    </row>
    <row r="85" spans="1:55" ht="14.25">
      <c r="A85" s="537" t="s">
        <v>188</v>
      </c>
      <c r="B85" s="678" t="s">
        <v>576</v>
      </c>
      <c r="C85" s="56"/>
      <c r="D85" s="49"/>
      <c r="E85" s="7"/>
      <c r="F85" s="7"/>
      <c r="G85" s="546">
        <f t="shared" si="19"/>
        <v>0</v>
      </c>
      <c r="H85" s="51"/>
      <c r="I85" s="7"/>
      <c r="J85" s="7"/>
      <c r="K85" s="549">
        <f t="shared" si="20"/>
        <v>0</v>
      </c>
      <c r="L85" s="51"/>
      <c r="M85" s="7"/>
      <c r="N85" s="7"/>
      <c r="O85" s="549">
        <f t="shared" si="21"/>
        <v>0</v>
      </c>
      <c r="P85" s="51"/>
      <c r="Q85" s="7"/>
      <c r="R85" s="7"/>
      <c r="S85" s="549">
        <f t="shared" si="22"/>
        <v>0</v>
      </c>
      <c r="T85" s="51"/>
      <c r="U85" s="7"/>
      <c r="V85" s="7"/>
      <c r="W85" s="549">
        <f t="shared" si="23"/>
        <v>0</v>
      </c>
      <c r="X85" s="51"/>
      <c r="Y85" s="7"/>
      <c r="Z85" s="7"/>
      <c r="AA85" s="549">
        <f t="shared" si="24"/>
        <v>0</v>
      </c>
      <c r="AB85" s="51"/>
      <c r="AC85" s="7"/>
      <c r="AD85" s="7"/>
      <c r="AE85" s="549">
        <f t="shared" si="25"/>
        <v>0</v>
      </c>
      <c r="AF85" s="51"/>
      <c r="AG85" s="7"/>
      <c r="AH85" s="7"/>
      <c r="AI85" s="549">
        <f t="shared" si="26"/>
        <v>0</v>
      </c>
      <c r="AJ85" s="51"/>
      <c r="AK85" s="7"/>
      <c r="AL85" s="7"/>
      <c r="AM85" s="549">
        <f t="shared" si="27"/>
        <v>0</v>
      </c>
      <c r="AN85" s="51"/>
      <c r="AO85" s="7"/>
      <c r="AP85" s="7"/>
      <c r="AQ85" s="549">
        <f t="shared" si="28"/>
        <v>0</v>
      </c>
      <c r="AR85" s="51"/>
      <c r="AS85" s="7"/>
      <c r="AT85" s="7"/>
      <c r="AU85" s="549">
        <f t="shared" si="29"/>
        <v>0</v>
      </c>
      <c r="AV85" s="51"/>
      <c r="AW85" s="7"/>
      <c r="AX85" s="7"/>
      <c r="AY85" s="549">
        <f t="shared" si="30"/>
        <v>0</v>
      </c>
      <c r="AZ85" s="51"/>
      <c r="BA85" s="53">
        <f aca="true" t="shared" si="32" ref="BA85:BA96">E85+I85+M85+Q85+U85+Y85+AC85+AG85+AK85+AO85+AS85+AW85</f>
        <v>0</v>
      </c>
      <c r="BB85" s="7">
        <f aca="true" t="shared" si="33" ref="BB85:BB96">F85+J85+N85+R85+V85+Z85+AD85+AH85+AL85+AP85+AT85+AX85</f>
        <v>0</v>
      </c>
      <c r="BC85" s="549">
        <f t="shared" si="31"/>
        <v>0</v>
      </c>
    </row>
    <row r="86" spans="1:55" ht="14.25">
      <c r="A86" s="537" t="s">
        <v>189</v>
      </c>
      <c r="B86" s="678" t="s">
        <v>577</v>
      </c>
      <c r="C86" s="56"/>
      <c r="D86" s="49"/>
      <c r="E86" s="7"/>
      <c r="F86" s="7"/>
      <c r="G86" s="546">
        <f t="shared" si="19"/>
        <v>0</v>
      </c>
      <c r="H86" s="51"/>
      <c r="I86" s="7"/>
      <c r="J86" s="7"/>
      <c r="K86" s="549">
        <f t="shared" si="20"/>
        <v>0</v>
      </c>
      <c r="L86" s="51"/>
      <c r="M86" s="7"/>
      <c r="N86" s="7"/>
      <c r="O86" s="549">
        <f t="shared" si="21"/>
        <v>0</v>
      </c>
      <c r="P86" s="51"/>
      <c r="Q86" s="7"/>
      <c r="R86" s="7"/>
      <c r="S86" s="549">
        <f t="shared" si="22"/>
        <v>0</v>
      </c>
      <c r="T86" s="51"/>
      <c r="U86" s="7"/>
      <c r="V86" s="7"/>
      <c r="W86" s="549">
        <f t="shared" si="23"/>
        <v>0</v>
      </c>
      <c r="X86" s="51"/>
      <c r="Y86" s="7"/>
      <c r="Z86" s="7"/>
      <c r="AA86" s="549">
        <f t="shared" si="24"/>
        <v>0</v>
      </c>
      <c r="AB86" s="51"/>
      <c r="AC86" s="7"/>
      <c r="AD86" s="7"/>
      <c r="AE86" s="549">
        <f t="shared" si="25"/>
        <v>0</v>
      </c>
      <c r="AF86" s="51"/>
      <c r="AG86" s="7"/>
      <c r="AH86" s="7"/>
      <c r="AI86" s="549">
        <f t="shared" si="26"/>
        <v>0</v>
      </c>
      <c r="AJ86" s="51"/>
      <c r="AK86" s="7"/>
      <c r="AL86" s="7"/>
      <c r="AM86" s="549">
        <f t="shared" si="27"/>
        <v>0</v>
      </c>
      <c r="AN86" s="51"/>
      <c r="AO86" s="7"/>
      <c r="AP86" s="7"/>
      <c r="AQ86" s="549">
        <f t="shared" si="28"/>
        <v>0</v>
      </c>
      <c r="AR86" s="51"/>
      <c r="AS86" s="7"/>
      <c r="AT86" s="7"/>
      <c r="AU86" s="549">
        <f t="shared" si="29"/>
        <v>0</v>
      </c>
      <c r="AV86" s="51"/>
      <c r="AW86" s="7"/>
      <c r="AX86" s="7"/>
      <c r="AY86" s="549">
        <f t="shared" si="30"/>
        <v>0</v>
      </c>
      <c r="AZ86" s="51"/>
      <c r="BA86" s="53">
        <f t="shared" si="32"/>
        <v>0</v>
      </c>
      <c r="BB86" s="7">
        <f t="shared" si="33"/>
        <v>0</v>
      </c>
      <c r="BC86" s="549">
        <f t="shared" si="31"/>
        <v>0</v>
      </c>
    </row>
    <row r="87" spans="1:55" ht="15">
      <c r="A87" s="543" t="s">
        <v>881</v>
      </c>
      <c r="B87" s="680" t="s">
        <v>748</v>
      </c>
      <c r="C87" s="637"/>
      <c r="D87" s="61">
        <f>SUM(D88:D90)</f>
        <v>0</v>
      </c>
      <c r="E87" s="62">
        <f>SUM(E88:E90)</f>
        <v>0</v>
      </c>
      <c r="F87" s="62">
        <f>SUM(F88:F90)</f>
        <v>0</v>
      </c>
      <c r="G87" s="63">
        <f>SUM(G88:G90)</f>
        <v>0</v>
      </c>
      <c r="H87" s="51"/>
      <c r="I87" s="62">
        <f>SUM(I88:I90)</f>
        <v>0</v>
      </c>
      <c r="J87" s="62">
        <f>SUM(J88:J90)</f>
        <v>0</v>
      </c>
      <c r="K87" s="63">
        <f>SUM(K88:K90)</f>
        <v>0</v>
      </c>
      <c r="L87" s="51"/>
      <c r="M87" s="62">
        <f>SUM(M88:M90)</f>
        <v>0</v>
      </c>
      <c r="N87" s="62">
        <f>SUM(N88:N90)</f>
        <v>0</v>
      </c>
      <c r="O87" s="63">
        <f>SUM(O88:O90)</f>
        <v>0</v>
      </c>
      <c r="P87" s="51"/>
      <c r="Q87" s="62">
        <f>SUM(Q88:Q90)</f>
        <v>0</v>
      </c>
      <c r="R87" s="62">
        <f>SUM(R88:R90)</f>
        <v>0</v>
      </c>
      <c r="S87" s="63">
        <f>SUM(S88:S90)</f>
        <v>0</v>
      </c>
      <c r="T87" s="51"/>
      <c r="U87" s="62">
        <f>SUM(U88:U90)</f>
        <v>0</v>
      </c>
      <c r="V87" s="62">
        <f>SUM(V88:V90)</f>
        <v>0</v>
      </c>
      <c r="W87" s="63">
        <f>SUM(W88:W90)</f>
        <v>0</v>
      </c>
      <c r="X87" s="51"/>
      <c r="Y87" s="62">
        <f>SUM(Y88:Y90)</f>
        <v>0</v>
      </c>
      <c r="Z87" s="62">
        <f>SUM(Z88:Z90)</f>
        <v>0</v>
      </c>
      <c r="AA87" s="63">
        <f>SUM(AA88:AA90)</f>
        <v>0</v>
      </c>
      <c r="AB87" s="51"/>
      <c r="AC87" s="62">
        <f>SUM(AC88:AC90)</f>
        <v>0</v>
      </c>
      <c r="AD87" s="62">
        <f>SUM(AD88:AD90)</f>
        <v>0</v>
      </c>
      <c r="AE87" s="63">
        <f>SUM(AE88:AE90)</f>
        <v>0</v>
      </c>
      <c r="AF87" s="51"/>
      <c r="AG87" s="62">
        <f>SUM(AG88:AG90)</f>
        <v>0</v>
      </c>
      <c r="AH87" s="62">
        <f>SUM(AH88:AH90)</f>
        <v>0</v>
      </c>
      <c r="AI87" s="63">
        <f>SUM(AI88:AI90)</f>
        <v>0</v>
      </c>
      <c r="AJ87" s="51"/>
      <c r="AK87" s="62">
        <f>SUM(AK88:AK90)</f>
        <v>0</v>
      </c>
      <c r="AL87" s="62">
        <f>SUM(AL88:AL90)</f>
        <v>0</v>
      </c>
      <c r="AM87" s="63">
        <f>SUM(AM88:AM90)</f>
        <v>0</v>
      </c>
      <c r="AN87" s="51"/>
      <c r="AO87" s="62">
        <f>SUM(AO88:AO90)</f>
        <v>0</v>
      </c>
      <c r="AP87" s="62">
        <f>SUM(AP88:AP90)</f>
        <v>0</v>
      </c>
      <c r="AQ87" s="63">
        <f>SUM(AQ88:AQ90)</f>
        <v>0</v>
      </c>
      <c r="AR87" s="51"/>
      <c r="AS87" s="62">
        <f>SUM(AS88:AS90)</f>
        <v>0</v>
      </c>
      <c r="AT87" s="62">
        <f>SUM(AT88:AT90)</f>
        <v>0</v>
      </c>
      <c r="AU87" s="63">
        <f>SUM(AU88:AU90)</f>
        <v>0</v>
      </c>
      <c r="AV87" s="51"/>
      <c r="AW87" s="62">
        <f>SUM(AW88:AW90)</f>
        <v>0</v>
      </c>
      <c r="AX87" s="62">
        <f>SUM(AX88:AX90)</f>
        <v>0</v>
      </c>
      <c r="AY87" s="63">
        <f>SUM(AY88:AY90)</f>
        <v>0</v>
      </c>
      <c r="AZ87" s="51"/>
      <c r="BA87" s="545">
        <f>SUM(BA88:BA90)</f>
        <v>0</v>
      </c>
      <c r="BB87" s="62">
        <f>SUM(BB88:BB90)</f>
        <v>0</v>
      </c>
      <c r="BC87" s="63">
        <f>SUM(BC88:BC90)</f>
        <v>0</v>
      </c>
    </row>
    <row r="88" spans="1:55" ht="14.25">
      <c r="A88" s="537" t="s">
        <v>192</v>
      </c>
      <c r="B88" s="678" t="s">
        <v>730</v>
      </c>
      <c r="C88" s="56"/>
      <c r="D88" s="49"/>
      <c r="E88" s="7"/>
      <c r="F88" s="7"/>
      <c r="G88" s="546">
        <f t="shared" si="19"/>
        <v>0</v>
      </c>
      <c r="H88" s="51"/>
      <c r="I88" s="7"/>
      <c r="J88" s="7"/>
      <c r="K88" s="549">
        <f t="shared" si="20"/>
        <v>0</v>
      </c>
      <c r="L88" s="51"/>
      <c r="M88" s="7"/>
      <c r="N88" s="7"/>
      <c r="O88" s="549">
        <f t="shared" si="21"/>
        <v>0</v>
      </c>
      <c r="P88" s="51"/>
      <c r="Q88" s="7"/>
      <c r="R88" s="7"/>
      <c r="S88" s="549">
        <f t="shared" si="22"/>
        <v>0</v>
      </c>
      <c r="T88" s="51"/>
      <c r="U88" s="7"/>
      <c r="V88" s="7"/>
      <c r="W88" s="549">
        <f t="shared" si="23"/>
        <v>0</v>
      </c>
      <c r="X88" s="51"/>
      <c r="Y88" s="7"/>
      <c r="Z88" s="7"/>
      <c r="AA88" s="549">
        <f t="shared" si="24"/>
        <v>0</v>
      </c>
      <c r="AB88" s="51"/>
      <c r="AC88" s="7"/>
      <c r="AD88" s="7"/>
      <c r="AE88" s="549">
        <f t="shared" si="25"/>
        <v>0</v>
      </c>
      <c r="AF88" s="51"/>
      <c r="AG88" s="7"/>
      <c r="AH88" s="7"/>
      <c r="AI88" s="549">
        <f t="shared" si="26"/>
        <v>0</v>
      </c>
      <c r="AJ88" s="51"/>
      <c r="AK88" s="7"/>
      <c r="AL88" s="7"/>
      <c r="AM88" s="549">
        <f t="shared" si="27"/>
        <v>0</v>
      </c>
      <c r="AN88" s="51"/>
      <c r="AO88" s="7"/>
      <c r="AP88" s="7"/>
      <c r="AQ88" s="549">
        <f t="shared" si="28"/>
        <v>0</v>
      </c>
      <c r="AR88" s="51"/>
      <c r="AS88" s="7"/>
      <c r="AT88" s="7"/>
      <c r="AU88" s="549">
        <f t="shared" si="29"/>
        <v>0</v>
      </c>
      <c r="AV88" s="51"/>
      <c r="AW88" s="7"/>
      <c r="AX88" s="7"/>
      <c r="AY88" s="549">
        <f t="shared" si="30"/>
        <v>0</v>
      </c>
      <c r="AZ88" s="51"/>
      <c r="BA88" s="53">
        <f t="shared" si="32"/>
        <v>0</v>
      </c>
      <c r="BB88" s="7">
        <f t="shared" si="33"/>
        <v>0</v>
      </c>
      <c r="BC88" s="549">
        <f t="shared" si="31"/>
        <v>0</v>
      </c>
    </row>
    <row r="89" spans="1:55" ht="15">
      <c r="A89" s="537" t="s">
        <v>193</v>
      </c>
      <c r="B89" s="678" t="s">
        <v>578</v>
      </c>
      <c r="C89" s="54"/>
      <c r="D89" s="49"/>
      <c r="E89" s="7"/>
      <c r="F89" s="7"/>
      <c r="G89" s="546">
        <f t="shared" si="19"/>
        <v>0</v>
      </c>
      <c r="H89" s="51"/>
      <c r="I89" s="7"/>
      <c r="J89" s="7"/>
      <c r="K89" s="549">
        <f t="shared" si="20"/>
        <v>0</v>
      </c>
      <c r="L89" s="51"/>
      <c r="M89" s="7"/>
      <c r="N89" s="7"/>
      <c r="O89" s="549">
        <f t="shared" si="21"/>
        <v>0</v>
      </c>
      <c r="P89" s="51"/>
      <c r="Q89" s="7"/>
      <c r="R89" s="7"/>
      <c r="S89" s="549">
        <f t="shared" si="22"/>
        <v>0</v>
      </c>
      <c r="T89" s="51"/>
      <c r="U89" s="7"/>
      <c r="V89" s="7"/>
      <c r="W89" s="549">
        <f t="shared" si="23"/>
        <v>0</v>
      </c>
      <c r="X89" s="51"/>
      <c r="Y89" s="7"/>
      <c r="Z89" s="7"/>
      <c r="AA89" s="549">
        <f t="shared" si="24"/>
        <v>0</v>
      </c>
      <c r="AB89" s="51"/>
      <c r="AC89" s="7"/>
      <c r="AD89" s="7"/>
      <c r="AE89" s="549">
        <f t="shared" si="25"/>
        <v>0</v>
      </c>
      <c r="AF89" s="51"/>
      <c r="AG89" s="7"/>
      <c r="AH89" s="7"/>
      <c r="AI89" s="549">
        <f t="shared" si="26"/>
        <v>0</v>
      </c>
      <c r="AJ89" s="51"/>
      <c r="AK89" s="7"/>
      <c r="AL89" s="7"/>
      <c r="AM89" s="549">
        <f t="shared" si="27"/>
        <v>0</v>
      </c>
      <c r="AN89" s="51"/>
      <c r="AO89" s="7"/>
      <c r="AP89" s="7"/>
      <c r="AQ89" s="549">
        <f t="shared" si="28"/>
        <v>0</v>
      </c>
      <c r="AR89" s="51"/>
      <c r="AS89" s="7"/>
      <c r="AT89" s="7"/>
      <c r="AU89" s="549">
        <f t="shared" si="29"/>
        <v>0</v>
      </c>
      <c r="AV89" s="51"/>
      <c r="AW89" s="7"/>
      <c r="AX89" s="7"/>
      <c r="AY89" s="549">
        <f t="shared" si="30"/>
        <v>0</v>
      </c>
      <c r="AZ89" s="51"/>
      <c r="BA89" s="53">
        <f t="shared" si="32"/>
        <v>0</v>
      </c>
      <c r="BB89" s="7">
        <f t="shared" si="33"/>
        <v>0</v>
      </c>
      <c r="BC89" s="549">
        <f t="shared" si="31"/>
        <v>0</v>
      </c>
    </row>
    <row r="90" spans="1:55" ht="15">
      <c r="A90" s="537" t="s">
        <v>194</v>
      </c>
      <c r="B90" s="678" t="s">
        <v>579</v>
      </c>
      <c r="C90" s="54"/>
      <c r="D90" s="49"/>
      <c r="E90" s="7"/>
      <c r="F90" s="7"/>
      <c r="G90" s="546">
        <f t="shared" si="19"/>
        <v>0</v>
      </c>
      <c r="H90" s="51"/>
      <c r="I90" s="7"/>
      <c r="J90" s="7"/>
      <c r="K90" s="549">
        <f t="shared" si="20"/>
        <v>0</v>
      </c>
      <c r="L90" s="51"/>
      <c r="M90" s="7"/>
      <c r="N90" s="7"/>
      <c r="O90" s="549">
        <f t="shared" si="21"/>
        <v>0</v>
      </c>
      <c r="P90" s="51"/>
      <c r="Q90" s="7"/>
      <c r="R90" s="7"/>
      <c r="S90" s="549">
        <f t="shared" si="22"/>
        <v>0</v>
      </c>
      <c r="T90" s="51"/>
      <c r="U90" s="7"/>
      <c r="V90" s="7"/>
      <c r="W90" s="549">
        <f t="shared" si="23"/>
        <v>0</v>
      </c>
      <c r="X90" s="51"/>
      <c r="Y90" s="7"/>
      <c r="Z90" s="7"/>
      <c r="AA90" s="549">
        <f t="shared" si="24"/>
        <v>0</v>
      </c>
      <c r="AB90" s="51"/>
      <c r="AC90" s="7"/>
      <c r="AD90" s="7"/>
      <c r="AE90" s="549">
        <f t="shared" si="25"/>
        <v>0</v>
      </c>
      <c r="AF90" s="51"/>
      <c r="AG90" s="7"/>
      <c r="AH90" s="7"/>
      <c r="AI90" s="549">
        <f t="shared" si="26"/>
        <v>0</v>
      </c>
      <c r="AJ90" s="51"/>
      <c r="AK90" s="7"/>
      <c r="AL90" s="7"/>
      <c r="AM90" s="549">
        <f t="shared" si="27"/>
        <v>0</v>
      </c>
      <c r="AN90" s="51"/>
      <c r="AO90" s="7"/>
      <c r="AP90" s="7"/>
      <c r="AQ90" s="549">
        <f t="shared" si="28"/>
        <v>0</v>
      </c>
      <c r="AR90" s="51"/>
      <c r="AS90" s="7"/>
      <c r="AT90" s="7"/>
      <c r="AU90" s="549">
        <f t="shared" si="29"/>
        <v>0</v>
      </c>
      <c r="AV90" s="51"/>
      <c r="AW90" s="7"/>
      <c r="AX90" s="7"/>
      <c r="AY90" s="549">
        <f t="shared" si="30"/>
        <v>0</v>
      </c>
      <c r="AZ90" s="51"/>
      <c r="BA90" s="53">
        <f t="shared" si="32"/>
        <v>0</v>
      </c>
      <c r="BB90" s="7">
        <f t="shared" si="33"/>
        <v>0</v>
      </c>
      <c r="BC90" s="549">
        <f t="shared" si="31"/>
        <v>0</v>
      </c>
    </row>
    <row r="91" spans="1:55" ht="15">
      <c r="A91" s="537" t="s">
        <v>883</v>
      </c>
      <c r="B91" s="678" t="s">
        <v>717</v>
      </c>
      <c r="C91" s="54"/>
      <c r="D91" s="49"/>
      <c r="E91" s="7"/>
      <c r="F91" s="7"/>
      <c r="G91" s="546">
        <f t="shared" si="19"/>
        <v>0</v>
      </c>
      <c r="H91" s="51"/>
      <c r="I91" s="7"/>
      <c r="J91" s="7"/>
      <c r="K91" s="549">
        <f t="shared" si="20"/>
        <v>0</v>
      </c>
      <c r="L91" s="51"/>
      <c r="M91" s="7"/>
      <c r="N91" s="7"/>
      <c r="O91" s="549">
        <f t="shared" si="21"/>
        <v>0</v>
      </c>
      <c r="P91" s="51"/>
      <c r="Q91" s="7"/>
      <c r="R91" s="7"/>
      <c r="S91" s="549">
        <f t="shared" si="22"/>
        <v>0</v>
      </c>
      <c r="T91" s="51"/>
      <c r="U91" s="7"/>
      <c r="V91" s="7"/>
      <c r="W91" s="549">
        <f t="shared" si="23"/>
        <v>0</v>
      </c>
      <c r="X91" s="51"/>
      <c r="Y91" s="7"/>
      <c r="Z91" s="7"/>
      <c r="AA91" s="549">
        <f t="shared" si="24"/>
        <v>0</v>
      </c>
      <c r="AB91" s="51"/>
      <c r="AC91" s="7"/>
      <c r="AD91" s="7"/>
      <c r="AE91" s="549">
        <f t="shared" si="25"/>
        <v>0</v>
      </c>
      <c r="AF91" s="51"/>
      <c r="AG91" s="7"/>
      <c r="AH91" s="7"/>
      <c r="AI91" s="549">
        <f t="shared" si="26"/>
        <v>0</v>
      </c>
      <c r="AJ91" s="51"/>
      <c r="AK91" s="7"/>
      <c r="AL91" s="7"/>
      <c r="AM91" s="549">
        <f t="shared" si="27"/>
        <v>0</v>
      </c>
      <c r="AN91" s="51"/>
      <c r="AO91" s="7"/>
      <c r="AP91" s="7"/>
      <c r="AQ91" s="549">
        <f t="shared" si="28"/>
        <v>0</v>
      </c>
      <c r="AR91" s="51"/>
      <c r="AS91" s="7"/>
      <c r="AT91" s="7"/>
      <c r="AU91" s="549">
        <f t="shared" si="29"/>
        <v>0</v>
      </c>
      <c r="AV91" s="51"/>
      <c r="AW91" s="7"/>
      <c r="AX91" s="7"/>
      <c r="AY91" s="549">
        <f t="shared" si="30"/>
        <v>0</v>
      </c>
      <c r="AZ91" s="51"/>
      <c r="BA91" s="53">
        <f t="shared" si="32"/>
        <v>0</v>
      </c>
      <c r="BB91" s="7">
        <f t="shared" si="33"/>
        <v>0</v>
      </c>
      <c r="BC91" s="549">
        <f t="shared" si="31"/>
        <v>0</v>
      </c>
    </row>
    <row r="92" spans="1:55" ht="15">
      <c r="A92" s="543" t="s">
        <v>885</v>
      </c>
      <c r="B92" s="680" t="s">
        <v>736</v>
      </c>
      <c r="C92" s="637"/>
      <c r="D92" s="61">
        <f>SUM(D93:D99)</f>
        <v>8823040.35</v>
      </c>
      <c r="E92" s="62">
        <f>SUM(E93:E99)</f>
        <v>0</v>
      </c>
      <c r="F92" s="62">
        <f>SUM(F93:F99)</f>
        <v>0</v>
      </c>
      <c r="G92" s="63">
        <f>SUM(G93:G99)</f>
        <v>8823040.35</v>
      </c>
      <c r="H92" s="51"/>
      <c r="I92" s="62">
        <f>SUM(I93:I99)</f>
        <v>0</v>
      </c>
      <c r="J92" s="62">
        <f>SUM(J93:J99)</f>
        <v>0</v>
      </c>
      <c r="K92" s="63">
        <f>SUM(K93:K99)</f>
        <v>8823040.35</v>
      </c>
      <c r="L92" s="51"/>
      <c r="M92" s="62">
        <f>SUM(M93:M99)</f>
        <v>0</v>
      </c>
      <c r="N92" s="62">
        <f>SUM(N93:N99)</f>
        <v>0</v>
      </c>
      <c r="O92" s="63">
        <f>SUM(O93:O99)</f>
        <v>8823040.35</v>
      </c>
      <c r="P92" s="51"/>
      <c r="Q92" s="62">
        <f>SUM(Q93:Q99)</f>
        <v>0</v>
      </c>
      <c r="R92" s="62">
        <f>SUM(R93:R99)</f>
        <v>0</v>
      </c>
      <c r="S92" s="63">
        <f>SUM(S93:S99)</f>
        <v>8823040.35</v>
      </c>
      <c r="T92" s="51"/>
      <c r="U92" s="62">
        <f>SUM(U93:U99)</f>
        <v>0</v>
      </c>
      <c r="V92" s="62">
        <f>SUM(V93:V99)</f>
        <v>0</v>
      </c>
      <c r="W92" s="63">
        <f>SUM(W93:W99)</f>
        <v>8823040.35</v>
      </c>
      <c r="X92" s="51"/>
      <c r="Y92" s="62">
        <f>SUM(Y93:Y99)</f>
        <v>0</v>
      </c>
      <c r="Z92" s="62">
        <f>SUM(Z93:Z99)</f>
        <v>0</v>
      </c>
      <c r="AA92" s="63">
        <f>SUM(AA93:AA99)</f>
        <v>8823040.35</v>
      </c>
      <c r="AB92" s="51"/>
      <c r="AC92" s="62">
        <f>SUM(AC93:AC99)</f>
        <v>0</v>
      </c>
      <c r="AD92" s="62">
        <f>SUM(AD93:AD99)</f>
        <v>0</v>
      </c>
      <c r="AE92" s="63">
        <f>SUM(AE93:AE99)</f>
        <v>8823040.35</v>
      </c>
      <c r="AF92" s="51"/>
      <c r="AG92" s="62">
        <f>SUM(AG93:AG99)</f>
        <v>0</v>
      </c>
      <c r="AH92" s="62">
        <f>SUM(AH93:AH99)</f>
        <v>0</v>
      </c>
      <c r="AI92" s="63">
        <f>SUM(AI93:AI99)</f>
        <v>8823040.35</v>
      </c>
      <c r="AJ92" s="51"/>
      <c r="AK92" s="62">
        <f>SUM(AK93:AK99)</f>
        <v>0</v>
      </c>
      <c r="AL92" s="62">
        <f>SUM(AL93:AL99)</f>
        <v>0</v>
      </c>
      <c r="AM92" s="63">
        <f>SUM(AM93:AM99)</f>
        <v>8823040.35</v>
      </c>
      <c r="AN92" s="51"/>
      <c r="AO92" s="62">
        <f>SUM(AO93:AO99)</f>
        <v>0</v>
      </c>
      <c r="AP92" s="62">
        <f>SUM(AP93:AP99)</f>
        <v>0</v>
      </c>
      <c r="AQ92" s="63">
        <f>SUM(AQ93:AQ99)</f>
        <v>8823040.35</v>
      </c>
      <c r="AR92" s="51"/>
      <c r="AS92" s="62">
        <f>SUM(AS93:AS99)</f>
        <v>0</v>
      </c>
      <c r="AT92" s="62">
        <f>SUM(AT93:AT99)</f>
        <v>0</v>
      </c>
      <c r="AU92" s="63">
        <f>SUM(AU93:AU99)</f>
        <v>8823040.35</v>
      </c>
      <c r="AV92" s="51"/>
      <c r="AW92" s="62">
        <f>SUM(AW93:AW99)</f>
        <v>0</v>
      </c>
      <c r="AX92" s="62">
        <f>SUM(AX93:AX99)</f>
        <v>0</v>
      </c>
      <c r="AY92" s="63">
        <f>SUM(AY93:AY99)</f>
        <v>8823040.35</v>
      </c>
      <c r="AZ92" s="51"/>
      <c r="BA92" s="545">
        <f>SUM(BA93:BA99)</f>
        <v>0</v>
      </c>
      <c r="BB92" s="62">
        <f>SUM(BB93:BB99)</f>
        <v>0</v>
      </c>
      <c r="BC92" s="63">
        <f>SUM(BC93:BC99)</f>
        <v>8823040.35</v>
      </c>
    </row>
    <row r="93" spans="1:55" ht="15">
      <c r="A93" s="537" t="s">
        <v>199</v>
      </c>
      <c r="B93" s="678" t="s">
        <v>580</v>
      </c>
      <c r="C93" s="54"/>
      <c r="D93" s="49"/>
      <c r="E93" s="7"/>
      <c r="F93" s="7"/>
      <c r="G93" s="546">
        <f t="shared" si="19"/>
        <v>0</v>
      </c>
      <c r="H93" s="51"/>
      <c r="I93" s="7"/>
      <c r="J93" s="7"/>
      <c r="K93" s="549">
        <f t="shared" si="20"/>
        <v>0</v>
      </c>
      <c r="L93" s="51"/>
      <c r="M93" s="7"/>
      <c r="N93" s="7"/>
      <c r="O93" s="549">
        <f t="shared" si="21"/>
        <v>0</v>
      </c>
      <c r="P93" s="51"/>
      <c r="Q93" s="7"/>
      <c r="R93" s="7"/>
      <c r="S93" s="549">
        <f t="shared" si="22"/>
        <v>0</v>
      </c>
      <c r="T93" s="51"/>
      <c r="U93" s="7"/>
      <c r="V93" s="7"/>
      <c r="W93" s="549">
        <f t="shared" si="23"/>
        <v>0</v>
      </c>
      <c r="X93" s="51"/>
      <c r="Y93" s="7"/>
      <c r="Z93" s="7"/>
      <c r="AA93" s="549">
        <f t="shared" si="24"/>
        <v>0</v>
      </c>
      <c r="AB93" s="51"/>
      <c r="AC93" s="7"/>
      <c r="AD93" s="7"/>
      <c r="AE93" s="549">
        <f t="shared" si="25"/>
        <v>0</v>
      </c>
      <c r="AF93" s="51"/>
      <c r="AG93" s="7"/>
      <c r="AH93" s="7"/>
      <c r="AI93" s="549">
        <f t="shared" si="26"/>
        <v>0</v>
      </c>
      <c r="AJ93" s="51"/>
      <c r="AK93" s="7"/>
      <c r="AL93" s="7"/>
      <c r="AM93" s="549">
        <f t="shared" si="27"/>
        <v>0</v>
      </c>
      <c r="AN93" s="51"/>
      <c r="AO93" s="7"/>
      <c r="AP93" s="7"/>
      <c r="AQ93" s="549">
        <f t="shared" si="28"/>
        <v>0</v>
      </c>
      <c r="AR93" s="51"/>
      <c r="AS93" s="7"/>
      <c r="AT93" s="7"/>
      <c r="AU93" s="549">
        <f t="shared" si="29"/>
        <v>0</v>
      </c>
      <c r="AV93" s="51"/>
      <c r="AW93" s="7"/>
      <c r="AX93" s="7"/>
      <c r="AY93" s="549">
        <f t="shared" si="30"/>
        <v>0</v>
      </c>
      <c r="AZ93" s="51"/>
      <c r="BA93" s="53">
        <f t="shared" si="32"/>
        <v>0</v>
      </c>
      <c r="BB93" s="7">
        <f t="shared" si="33"/>
        <v>0</v>
      </c>
      <c r="BC93" s="549">
        <f t="shared" si="31"/>
        <v>0</v>
      </c>
    </row>
    <row r="94" spans="1:55" ht="14.25">
      <c r="A94" s="537" t="s">
        <v>200</v>
      </c>
      <c r="B94" s="678" t="s">
        <v>581</v>
      </c>
      <c r="C94" s="56"/>
      <c r="D94" s="49"/>
      <c r="E94" s="7"/>
      <c r="F94" s="7"/>
      <c r="G94" s="546">
        <f t="shared" si="19"/>
        <v>0</v>
      </c>
      <c r="H94" s="51"/>
      <c r="I94" s="7"/>
      <c r="J94" s="7"/>
      <c r="K94" s="549">
        <f t="shared" si="20"/>
        <v>0</v>
      </c>
      <c r="L94" s="51"/>
      <c r="M94" s="7"/>
      <c r="N94" s="7"/>
      <c r="O94" s="549">
        <f t="shared" si="21"/>
        <v>0</v>
      </c>
      <c r="P94" s="51"/>
      <c r="Q94" s="7"/>
      <c r="R94" s="7"/>
      <c r="S94" s="549">
        <f t="shared" si="22"/>
        <v>0</v>
      </c>
      <c r="T94" s="51"/>
      <c r="U94" s="7"/>
      <c r="V94" s="7"/>
      <c r="W94" s="549">
        <f t="shared" si="23"/>
        <v>0</v>
      </c>
      <c r="X94" s="51"/>
      <c r="Y94" s="7"/>
      <c r="Z94" s="7"/>
      <c r="AA94" s="549">
        <f t="shared" si="24"/>
        <v>0</v>
      </c>
      <c r="AB94" s="51"/>
      <c r="AC94" s="7"/>
      <c r="AD94" s="7"/>
      <c r="AE94" s="549">
        <f t="shared" si="25"/>
        <v>0</v>
      </c>
      <c r="AF94" s="51"/>
      <c r="AG94" s="7"/>
      <c r="AH94" s="7"/>
      <c r="AI94" s="549">
        <f t="shared" si="26"/>
        <v>0</v>
      </c>
      <c r="AJ94" s="51"/>
      <c r="AK94" s="7"/>
      <c r="AL94" s="7"/>
      <c r="AM94" s="549">
        <f t="shared" si="27"/>
        <v>0</v>
      </c>
      <c r="AN94" s="51"/>
      <c r="AO94" s="7"/>
      <c r="AP94" s="7"/>
      <c r="AQ94" s="549">
        <f t="shared" si="28"/>
        <v>0</v>
      </c>
      <c r="AR94" s="51"/>
      <c r="AS94" s="7"/>
      <c r="AT94" s="7"/>
      <c r="AU94" s="549">
        <f t="shared" si="29"/>
        <v>0</v>
      </c>
      <c r="AV94" s="51"/>
      <c r="AW94" s="7"/>
      <c r="AX94" s="7"/>
      <c r="AY94" s="549">
        <f t="shared" si="30"/>
        <v>0</v>
      </c>
      <c r="AZ94" s="51"/>
      <c r="BA94" s="53">
        <f t="shared" si="32"/>
        <v>0</v>
      </c>
      <c r="BB94" s="7">
        <f t="shared" si="33"/>
        <v>0</v>
      </c>
      <c r="BC94" s="549">
        <f t="shared" si="31"/>
        <v>0</v>
      </c>
    </row>
    <row r="95" spans="1:55" ht="15">
      <c r="A95" s="537" t="s">
        <v>201</v>
      </c>
      <c r="B95" s="678" t="s">
        <v>582</v>
      </c>
      <c r="C95" s="54"/>
      <c r="D95" s="49"/>
      <c r="E95" s="7"/>
      <c r="F95" s="7"/>
      <c r="G95" s="546">
        <f t="shared" si="19"/>
        <v>0</v>
      </c>
      <c r="H95" s="51"/>
      <c r="I95" s="7"/>
      <c r="J95" s="7"/>
      <c r="K95" s="549">
        <f t="shared" si="20"/>
        <v>0</v>
      </c>
      <c r="L95" s="51"/>
      <c r="M95" s="7"/>
      <c r="N95" s="7"/>
      <c r="O95" s="549">
        <f t="shared" si="21"/>
        <v>0</v>
      </c>
      <c r="P95" s="51"/>
      <c r="Q95" s="7"/>
      <c r="R95" s="7"/>
      <c r="S95" s="549">
        <f t="shared" si="22"/>
        <v>0</v>
      </c>
      <c r="T95" s="51"/>
      <c r="U95" s="7"/>
      <c r="V95" s="7"/>
      <c r="W95" s="549">
        <f t="shared" si="23"/>
        <v>0</v>
      </c>
      <c r="X95" s="51"/>
      <c r="Y95" s="7"/>
      <c r="Z95" s="7"/>
      <c r="AA95" s="549">
        <f t="shared" si="24"/>
        <v>0</v>
      </c>
      <c r="AB95" s="51"/>
      <c r="AC95" s="7"/>
      <c r="AD95" s="7"/>
      <c r="AE95" s="549">
        <f t="shared" si="25"/>
        <v>0</v>
      </c>
      <c r="AF95" s="51"/>
      <c r="AG95" s="7"/>
      <c r="AH95" s="7"/>
      <c r="AI95" s="549">
        <f t="shared" si="26"/>
        <v>0</v>
      </c>
      <c r="AJ95" s="51"/>
      <c r="AK95" s="7"/>
      <c r="AL95" s="7"/>
      <c r="AM95" s="549">
        <f t="shared" si="27"/>
        <v>0</v>
      </c>
      <c r="AN95" s="51"/>
      <c r="AO95" s="7"/>
      <c r="AP95" s="7"/>
      <c r="AQ95" s="549">
        <f t="shared" si="28"/>
        <v>0</v>
      </c>
      <c r="AR95" s="51"/>
      <c r="AS95" s="7"/>
      <c r="AT95" s="7"/>
      <c r="AU95" s="549">
        <f t="shared" si="29"/>
        <v>0</v>
      </c>
      <c r="AV95" s="51"/>
      <c r="AW95" s="7"/>
      <c r="AX95" s="7"/>
      <c r="AY95" s="549">
        <f t="shared" si="30"/>
        <v>0</v>
      </c>
      <c r="AZ95" s="51"/>
      <c r="BA95" s="53">
        <f t="shared" si="32"/>
        <v>0</v>
      </c>
      <c r="BB95" s="7">
        <f t="shared" si="33"/>
        <v>0</v>
      </c>
      <c r="BC95" s="549">
        <f t="shared" si="31"/>
        <v>0</v>
      </c>
    </row>
    <row r="96" spans="1:55" ht="14.25">
      <c r="A96" s="537" t="s">
        <v>202</v>
      </c>
      <c r="B96" s="678" t="s">
        <v>583</v>
      </c>
      <c r="C96" s="60"/>
      <c r="D96" s="542"/>
      <c r="E96" s="540"/>
      <c r="F96" s="540"/>
      <c r="G96" s="546">
        <f t="shared" si="19"/>
        <v>0</v>
      </c>
      <c r="H96" s="51"/>
      <c r="I96" s="540"/>
      <c r="J96" s="540"/>
      <c r="K96" s="549">
        <f t="shared" si="20"/>
        <v>0</v>
      </c>
      <c r="L96" s="51"/>
      <c r="M96" s="540"/>
      <c r="N96" s="540"/>
      <c r="O96" s="549">
        <f t="shared" si="21"/>
        <v>0</v>
      </c>
      <c r="P96" s="51"/>
      <c r="Q96" s="540"/>
      <c r="R96" s="540"/>
      <c r="S96" s="549">
        <f t="shared" si="22"/>
        <v>0</v>
      </c>
      <c r="T96" s="51"/>
      <c r="U96" s="540"/>
      <c r="V96" s="540"/>
      <c r="W96" s="549">
        <f t="shared" si="23"/>
        <v>0</v>
      </c>
      <c r="X96" s="51"/>
      <c r="Y96" s="540"/>
      <c r="Z96" s="540"/>
      <c r="AA96" s="549">
        <f t="shared" si="24"/>
        <v>0</v>
      </c>
      <c r="AB96" s="51"/>
      <c r="AC96" s="540"/>
      <c r="AD96" s="540"/>
      <c r="AE96" s="549">
        <f t="shared" si="25"/>
        <v>0</v>
      </c>
      <c r="AF96" s="51"/>
      <c r="AG96" s="540"/>
      <c r="AH96" s="540"/>
      <c r="AI96" s="549">
        <f t="shared" si="26"/>
        <v>0</v>
      </c>
      <c r="AJ96" s="51"/>
      <c r="AK96" s="540"/>
      <c r="AL96" s="540"/>
      <c r="AM96" s="549">
        <f t="shared" si="27"/>
        <v>0</v>
      </c>
      <c r="AN96" s="51"/>
      <c r="AO96" s="540"/>
      <c r="AP96" s="540"/>
      <c r="AQ96" s="549">
        <f t="shared" si="28"/>
        <v>0</v>
      </c>
      <c r="AR96" s="51"/>
      <c r="AS96" s="540"/>
      <c r="AT96" s="540"/>
      <c r="AU96" s="549">
        <f t="shared" si="29"/>
        <v>0</v>
      </c>
      <c r="AV96" s="51"/>
      <c r="AW96" s="540"/>
      <c r="AX96" s="540"/>
      <c r="AY96" s="549">
        <f t="shared" si="30"/>
        <v>0</v>
      </c>
      <c r="AZ96" s="51"/>
      <c r="BA96" s="541">
        <f t="shared" si="32"/>
        <v>0</v>
      </c>
      <c r="BB96" s="540">
        <f t="shared" si="33"/>
        <v>0</v>
      </c>
      <c r="BC96" s="549">
        <f t="shared" si="31"/>
        <v>0</v>
      </c>
    </row>
    <row r="97" spans="1:55" ht="14.25">
      <c r="A97" s="537" t="s">
        <v>203</v>
      </c>
      <c r="B97" s="678" t="s">
        <v>550</v>
      </c>
      <c r="C97" s="64"/>
      <c r="D97" s="542"/>
      <c r="E97" s="540"/>
      <c r="F97" s="540"/>
      <c r="G97" s="546">
        <f t="shared" si="19"/>
        <v>0</v>
      </c>
      <c r="H97" s="51"/>
      <c r="I97" s="540"/>
      <c r="J97" s="540"/>
      <c r="K97" s="549">
        <f t="shared" si="20"/>
        <v>0</v>
      </c>
      <c r="L97" s="51"/>
      <c r="M97" s="540"/>
      <c r="N97" s="540"/>
      <c r="O97" s="549">
        <f t="shared" si="21"/>
        <v>0</v>
      </c>
      <c r="P97" s="51"/>
      <c r="Q97" s="540"/>
      <c r="R97" s="540"/>
      <c r="S97" s="549">
        <f t="shared" si="22"/>
        <v>0</v>
      </c>
      <c r="T97" s="51"/>
      <c r="U97" s="540"/>
      <c r="V97" s="540"/>
      <c r="W97" s="549">
        <f t="shared" si="23"/>
        <v>0</v>
      </c>
      <c r="X97" s="51"/>
      <c r="Y97" s="540"/>
      <c r="Z97" s="540"/>
      <c r="AA97" s="549">
        <f t="shared" si="24"/>
        <v>0</v>
      </c>
      <c r="AB97" s="51"/>
      <c r="AC97" s="540"/>
      <c r="AD97" s="540"/>
      <c r="AE97" s="549">
        <f t="shared" si="25"/>
        <v>0</v>
      </c>
      <c r="AF97" s="51"/>
      <c r="AG97" s="540"/>
      <c r="AH97" s="540"/>
      <c r="AI97" s="549">
        <f t="shared" si="26"/>
        <v>0</v>
      </c>
      <c r="AJ97" s="51"/>
      <c r="AK97" s="540"/>
      <c r="AL97" s="540"/>
      <c r="AM97" s="549">
        <f t="shared" si="27"/>
        <v>0</v>
      </c>
      <c r="AN97" s="51"/>
      <c r="AO97" s="540"/>
      <c r="AP97" s="540"/>
      <c r="AQ97" s="549">
        <f t="shared" si="28"/>
        <v>0</v>
      </c>
      <c r="AR97" s="51"/>
      <c r="AS97" s="540"/>
      <c r="AT97" s="540"/>
      <c r="AU97" s="549">
        <f t="shared" si="29"/>
        <v>0</v>
      </c>
      <c r="AV97" s="51"/>
      <c r="AW97" s="540"/>
      <c r="AX97" s="540"/>
      <c r="AY97" s="549">
        <f t="shared" si="30"/>
        <v>0</v>
      </c>
      <c r="AZ97" s="51"/>
      <c r="BA97" s="541">
        <f aca="true" t="shared" si="34" ref="BA97:BA113">E97+I97+M97+Q97+U97+Y97+AC97+AG97+AK97+AO97+AS97+AW97</f>
        <v>0</v>
      </c>
      <c r="BB97" s="540">
        <f aca="true" t="shared" si="35" ref="BB97:BB113">F97+J97+N97+R97+V97+Z97+AD97+AH97+AL97+AP97+AT97+AX97</f>
        <v>0</v>
      </c>
      <c r="BC97" s="549">
        <f t="shared" si="31"/>
        <v>0</v>
      </c>
    </row>
    <row r="98" spans="1:55" ht="14.25">
      <c r="A98" s="537" t="s">
        <v>204</v>
      </c>
      <c r="B98" s="678" t="s">
        <v>584</v>
      </c>
      <c r="C98" s="66"/>
      <c r="D98" s="542"/>
      <c r="E98" s="540"/>
      <c r="F98" s="540"/>
      <c r="G98" s="546">
        <f t="shared" si="19"/>
        <v>0</v>
      </c>
      <c r="H98" s="51"/>
      <c r="I98" s="540"/>
      <c r="J98" s="540"/>
      <c r="K98" s="549">
        <f t="shared" si="20"/>
        <v>0</v>
      </c>
      <c r="L98" s="51"/>
      <c r="M98" s="540"/>
      <c r="N98" s="540"/>
      <c r="O98" s="549">
        <f t="shared" si="21"/>
        <v>0</v>
      </c>
      <c r="P98" s="51"/>
      <c r="Q98" s="540"/>
      <c r="R98" s="540"/>
      <c r="S98" s="549">
        <f t="shared" si="22"/>
        <v>0</v>
      </c>
      <c r="T98" s="51"/>
      <c r="U98" s="540"/>
      <c r="V98" s="540"/>
      <c r="W98" s="549">
        <f t="shared" si="23"/>
        <v>0</v>
      </c>
      <c r="X98" s="51"/>
      <c r="Y98" s="540"/>
      <c r="Z98" s="540"/>
      <c r="AA98" s="549">
        <f t="shared" si="24"/>
        <v>0</v>
      </c>
      <c r="AB98" s="51"/>
      <c r="AC98" s="540"/>
      <c r="AD98" s="540"/>
      <c r="AE98" s="549">
        <f t="shared" si="25"/>
        <v>0</v>
      </c>
      <c r="AF98" s="51"/>
      <c r="AG98" s="540"/>
      <c r="AH98" s="540"/>
      <c r="AI98" s="549">
        <f t="shared" si="26"/>
        <v>0</v>
      </c>
      <c r="AJ98" s="51"/>
      <c r="AK98" s="540"/>
      <c r="AL98" s="540"/>
      <c r="AM98" s="549">
        <f t="shared" si="27"/>
        <v>0</v>
      </c>
      <c r="AN98" s="51"/>
      <c r="AO98" s="540"/>
      <c r="AP98" s="540"/>
      <c r="AQ98" s="549">
        <f t="shared" si="28"/>
        <v>0</v>
      </c>
      <c r="AR98" s="51"/>
      <c r="AS98" s="540"/>
      <c r="AT98" s="540"/>
      <c r="AU98" s="549">
        <f t="shared" si="29"/>
        <v>0</v>
      </c>
      <c r="AV98" s="51"/>
      <c r="AW98" s="540"/>
      <c r="AX98" s="540"/>
      <c r="AY98" s="549">
        <f t="shared" si="30"/>
        <v>0</v>
      </c>
      <c r="AZ98" s="51"/>
      <c r="BA98" s="541">
        <f t="shared" si="34"/>
        <v>0</v>
      </c>
      <c r="BB98" s="540">
        <f t="shared" si="35"/>
        <v>0</v>
      </c>
      <c r="BC98" s="549">
        <f t="shared" si="31"/>
        <v>0</v>
      </c>
    </row>
    <row r="99" spans="1:55" ht="14.25">
      <c r="A99" s="537" t="s">
        <v>205</v>
      </c>
      <c r="B99" s="678" t="s">
        <v>585</v>
      </c>
      <c r="C99" s="67"/>
      <c r="D99" s="542">
        <v>8823040.35</v>
      </c>
      <c r="E99" s="540"/>
      <c r="F99" s="540"/>
      <c r="G99" s="546">
        <f t="shared" si="19"/>
        <v>8823040.35</v>
      </c>
      <c r="H99" s="51"/>
      <c r="I99" s="540"/>
      <c r="J99" s="540"/>
      <c r="K99" s="549">
        <f t="shared" si="20"/>
        <v>8823040.35</v>
      </c>
      <c r="L99" s="51"/>
      <c r="M99" s="540"/>
      <c r="N99" s="540"/>
      <c r="O99" s="549">
        <f t="shared" si="21"/>
        <v>8823040.35</v>
      </c>
      <c r="P99" s="51"/>
      <c r="Q99" s="540"/>
      <c r="R99" s="540"/>
      <c r="S99" s="549">
        <f t="shared" si="22"/>
        <v>8823040.35</v>
      </c>
      <c r="T99" s="51"/>
      <c r="U99" s="540"/>
      <c r="V99" s="540"/>
      <c r="W99" s="549">
        <f t="shared" si="23"/>
        <v>8823040.35</v>
      </c>
      <c r="X99" s="51"/>
      <c r="Y99" s="540"/>
      <c r="Z99" s="540"/>
      <c r="AA99" s="549">
        <f t="shared" si="24"/>
        <v>8823040.35</v>
      </c>
      <c r="AB99" s="51"/>
      <c r="AC99" s="540"/>
      <c r="AD99" s="540"/>
      <c r="AE99" s="549">
        <f t="shared" si="25"/>
        <v>8823040.35</v>
      </c>
      <c r="AF99" s="51"/>
      <c r="AG99" s="540"/>
      <c r="AH99" s="540"/>
      <c r="AI99" s="549">
        <f t="shared" si="26"/>
        <v>8823040.35</v>
      </c>
      <c r="AJ99" s="51"/>
      <c r="AK99" s="540"/>
      <c r="AL99" s="540"/>
      <c r="AM99" s="549">
        <f t="shared" si="27"/>
        <v>8823040.35</v>
      </c>
      <c r="AN99" s="51"/>
      <c r="AO99" s="540"/>
      <c r="AP99" s="540"/>
      <c r="AQ99" s="549">
        <f t="shared" si="28"/>
        <v>8823040.35</v>
      </c>
      <c r="AR99" s="51"/>
      <c r="AS99" s="540"/>
      <c r="AT99" s="540"/>
      <c r="AU99" s="549">
        <f t="shared" si="29"/>
        <v>8823040.35</v>
      </c>
      <c r="AV99" s="51"/>
      <c r="AW99" s="540"/>
      <c r="AX99" s="540"/>
      <c r="AY99" s="549">
        <f t="shared" si="30"/>
        <v>8823040.35</v>
      </c>
      <c r="AZ99" s="51"/>
      <c r="BA99" s="541">
        <f t="shared" si="34"/>
        <v>0</v>
      </c>
      <c r="BB99" s="540">
        <f t="shared" si="35"/>
        <v>0</v>
      </c>
      <c r="BC99" s="549">
        <f t="shared" si="31"/>
        <v>8823040.35</v>
      </c>
    </row>
    <row r="100" spans="1:55" ht="14.25">
      <c r="A100" s="543" t="s">
        <v>887</v>
      </c>
      <c r="B100" s="681" t="s">
        <v>353</v>
      </c>
      <c r="C100" s="638"/>
      <c r="D100" s="61">
        <f>SUM(D101:D107)</f>
        <v>974953</v>
      </c>
      <c r="E100" s="62">
        <f>SUM(E101:E107)</f>
        <v>400</v>
      </c>
      <c r="F100" s="62">
        <f>SUM(F101:F107)</f>
        <v>0</v>
      </c>
      <c r="G100" s="63">
        <f>SUM(G101:G107)</f>
        <v>975353</v>
      </c>
      <c r="H100" s="51"/>
      <c r="I100" s="62">
        <f>SUM(I101:I107)</f>
        <v>0</v>
      </c>
      <c r="J100" s="62">
        <f>SUM(J101:J107)</f>
        <v>0</v>
      </c>
      <c r="K100" s="63">
        <f>SUM(K101:K107)</f>
        <v>975353</v>
      </c>
      <c r="L100" s="51"/>
      <c r="M100" s="62">
        <f>SUM(M101:M107)</f>
        <v>0</v>
      </c>
      <c r="N100" s="62">
        <f>SUM(N101:N107)</f>
        <v>0</v>
      </c>
      <c r="O100" s="63">
        <f>SUM(O101:O107)</f>
        <v>975353</v>
      </c>
      <c r="P100" s="51"/>
      <c r="Q100" s="62">
        <f>SUM(Q101:Q107)</f>
        <v>0</v>
      </c>
      <c r="R100" s="62">
        <f>SUM(R101:R107)</f>
        <v>0</v>
      </c>
      <c r="S100" s="63">
        <f>SUM(S101:S107)</f>
        <v>975353</v>
      </c>
      <c r="T100" s="51"/>
      <c r="U100" s="62">
        <f>SUM(U101:U107)</f>
        <v>0</v>
      </c>
      <c r="V100" s="62">
        <f>SUM(V101:V107)</f>
        <v>0</v>
      </c>
      <c r="W100" s="63">
        <f>SUM(W101:W107)</f>
        <v>975353</v>
      </c>
      <c r="X100" s="51"/>
      <c r="Y100" s="62">
        <f>SUM(Y101:Y107)</f>
        <v>0</v>
      </c>
      <c r="Z100" s="62">
        <f>SUM(Z101:Z107)</f>
        <v>0</v>
      </c>
      <c r="AA100" s="63">
        <f>SUM(AA101:AA107)</f>
        <v>975353</v>
      </c>
      <c r="AB100" s="51"/>
      <c r="AC100" s="62">
        <f>SUM(AC101:AC107)</f>
        <v>0</v>
      </c>
      <c r="AD100" s="62">
        <f>SUM(AD101:AD107)</f>
        <v>0</v>
      </c>
      <c r="AE100" s="63">
        <f>SUM(AE101:AE107)</f>
        <v>975353</v>
      </c>
      <c r="AF100" s="51"/>
      <c r="AG100" s="62">
        <f>SUM(AG101:AG107)</f>
        <v>0</v>
      </c>
      <c r="AH100" s="62">
        <f>SUM(AH101:AH107)</f>
        <v>0</v>
      </c>
      <c r="AI100" s="63">
        <f>SUM(AI101:AI107)</f>
        <v>975353</v>
      </c>
      <c r="AJ100" s="51"/>
      <c r="AK100" s="62">
        <f>SUM(AK101:AK107)</f>
        <v>0</v>
      </c>
      <c r="AL100" s="62">
        <f>SUM(AL101:AL107)</f>
        <v>0</v>
      </c>
      <c r="AM100" s="63">
        <f>SUM(AM101:AM107)</f>
        <v>975353</v>
      </c>
      <c r="AN100" s="51"/>
      <c r="AO100" s="62">
        <f>SUM(AO101:AO107)</f>
        <v>0</v>
      </c>
      <c r="AP100" s="62">
        <f>SUM(AP101:AP107)</f>
        <v>0</v>
      </c>
      <c r="AQ100" s="63">
        <f>SUM(AQ101:AQ107)</f>
        <v>975353</v>
      </c>
      <c r="AR100" s="51"/>
      <c r="AS100" s="62">
        <f>SUM(AS101:AS107)</f>
        <v>0</v>
      </c>
      <c r="AT100" s="62">
        <f>SUM(AT101:AT107)</f>
        <v>0</v>
      </c>
      <c r="AU100" s="63">
        <f>SUM(AU101:AU107)</f>
        <v>975353</v>
      </c>
      <c r="AV100" s="51"/>
      <c r="AW100" s="62">
        <f>SUM(AW101:AW107)</f>
        <v>0</v>
      </c>
      <c r="AX100" s="62">
        <f>SUM(AX101:AX107)</f>
        <v>0</v>
      </c>
      <c r="AY100" s="63">
        <f>SUM(AY101:AY107)</f>
        <v>975353</v>
      </c>
      <c r="AZ100" s="51"/>
      <c r="BA100" s="545">
        <f>SUM(BA101:BA107)</f>
        <v>400</v>
      </c>
      <c r="BB100" s="62">
        <f>SUM(BB101:BB107)</f>
        <v>0</v>
      </c>
      <c r="BC100" s="63">
        <f>SUM(BC101:BC107)</f>
        <v>975353</v>
      </c>
    </row>
    <row r="101" spans="1:55" ht="14.25">
      <c r="A101" s="537">
        <v>410201</v>
      </c>
      <c r="B101" s="551" t="s">
        <v>345</v>
      </c>
      <c r="C101" s="66"/>
      <c r="D101" s="542"/>
      <c r="E101" s="540"/>
      <c r="F101" s="540"/>
      <c r="G101" s="50">
        <f aca="true" t="shared" si="36" ref="G101:G118">D101+E101-F101</f>
        <v>0</v>
      </c>
      <c r="H101" s="51"/>
      <c r="I101" s="540"/>
      <c r="J101" s="540"/>
      <c r="K101" s="65">
        <f>G101+I101-J101</f>
        <v>0</v>
      </c>
      <c r="L101" s="51"/>
      <c r="M101" s="540"/>
      <c r="N101" s="540"/>
      <c r="O101" s="65">
        <f>K101+M101-N101</f>
        <v>0</v>
      </c>
      <c r="P101" s="51"/>
      <c r="Q101" s="540"/>
      <c r="R101" s="540"/>
      <c r="S101" s="65">
        <f>O101+Q101-R101</f>
        <v>0</v>
      </c>
      <c r="T101" s="51"/>
      <c r="U101" s="540"/>
      <c r="V101" s="540"/>
      <c r="W101" s="65">
        <f>S101+U101-V101</f>
        <v>0</v>
      </c>
      <c r="X101" s="51"/>
      <c r="Y101" s="540"/>
      <c r="Z101" s="540"/>
      <c r="AA101" s="65">
        <f>W101+Y101-Z101</f>
        <v>0</v>
      </c>
      <c r="AB101" s="51"/>
      <c r="AC101" s="540"/>
      <c r="AD101" s="540"/>
      <c r="AE101" s="65">
        <f>AA101+AC101-AD101</f>
        <v>0</v>
      </c>
      <c r="AF101" s="51"/>
      <c r="AG101" s="540"/>
      <c r="AH101" s="540"/>
      <c r="AI101" s="65">
        <f>AE101+AG101-AH101</f>
        <v>0</v>
      </c>
      <c r="AJ101" s="51"/>
      <c r="AK101" s="540"/>
      <c r="AL101" s="540"/>
      <c r="AM101" s="65">
        <f>AI101+AK101-AL101</f>
        <v>0</v>
      </c>
      <c r="AN101" s="51"/>
      <c r="AO101" s="540"/>
      <c r="AP101" s="540"/>
      <c r="AQ101" s="65">
        <f aca="true" t="shared" si="37" ref="AQ101:AQ107">AM101+AO101-AP101</f>
        <v>0</v>
      </c>
      <c r="AR101" s="51"/>
      <c r="AS101" s="540"/>
      <c r="AT101" s="540"/>
      <c r="AU101" s="65">
        <f>AQ101+AS101-AT101</f>
        <v>0</v>
      </c>
      <c r="AV101" s="51"/>
      <c r="AW101" s="540"/>
      <c r="AX101" s="540"/>
      <c r="AY101" s="65">
        <f>AU101+AW101-AX101</f>
        <v>0</v>
      </c>
      <c r="AZ101" s="51"/>
      <c r="BA101" s="541">
        <f t="shared" si="34"/>
        <v>0</v>
      </c>
      <c r="BB101" s="540">
        <f t="shared" si="35"/>
        <v>0</v>
      </c>
      <c r="BC101" s="65">
        <f aca="true" t="shared" si="38" ref="BC101:BC118">D101+BA101-BB101</f>
        <v>0</v>
      </c>
    </row>
    <row r="102" spans="1:55" ht="14.25">
      <c r="A102" s="537">
        <v>410202</v>
      </c>
      <c r="B102" s="551" t="s">
        <v>346</v>
      </c>
      <c r="C102" s="66"/>
      <c r="D102" s="542"/>
      <c r="E102" s="540">
        <v>400</v>
      </c>
      <c r="F102" s="540"/>
      <c r="G102" s="50">
        <f aca="true" t="shared" si="39" ref="G102:G107">D102+E102-F102</f>
        <v>400</v>
      </c>
      <c r="H102" s="51"/>
      <c r="I102" s="540"/>
      <c r="J102" s="540"/>
      <c r="K102" s="65">
        <f aca="true" t="shared" si="40" ref="K102:K107">G102+I102-J102</f>
        <v>400</v>
      </c>
      <c r="L102" s="51"/>
      <c r="M102" s="540"/>
      <c r="N102" s="540"/>
      <c r="O102" s="65">
        <f aca="true" t="shared" si="41" ref="O102:O107">K102+M102-N102</f>
        <v>400</v>
      </c>
      <c r="P102" s="51"/>
      <c r="Q102" s="540"/>
      <c r="R102" s="540"/>
      <c r="S102" s="65">
        <f aca="true" t="shared" si="42" ref="S102:S107">O102+Q102-R102</f>
        <v>400</v>
      </c>
      <c r="T102" s="51"/>
      <c r="U102" s="540"/>
      <c r="V102" s="540"/>
      <c r="W102" s="65">
        <f aca="true" t="shared" si="43" ref="W102:W107">S102+U102-V102</f>
        <v>400</v>
      </c>
      <c r="X102" s="51"/>
      <c r="Y102" s="540"/>
      <c r="Z102" s="540"/>
      <c r="AA102" s="65">
        <f aca="true" t="shared" si="44" ref="AA102:AA107">W102+Y102-Z102</f>
        <v>400</v>
      </c>
      <c r="AB102" s="51"/>
      <c r="AC102" s="540"/>
      <c r="AD102" s="540"/>
      <c r="AE102" s="65">
        <f aca="true" t="shared" si="45" ref="AE102:AE107">AA102+AC102-AD102</f>
        <v>400</v>
      </c>
      <c r="AF102" s="51"/>
      <c r="AG102" s="540"/>
      <c r="AH102" s="540"/>
      <c r="AI102" s="65">
        <f aca="true" t="shared" si="46" ref="AI102:AI107">AE102+AG102-AH102</f>
        <v>400</v>
      </c>
      <c r="AJ102" s="51"/>
      <c r="AK102" s="540"/>
      <c r="AL102" s="540"/>
      <c r="AM102" s="65">
        <f aca="true" t="shared" si="47" ref="AM102:AM107">AI102+AK102-AL102</f>
        <v>400</v>
      </c>
      <c r="AN102" s="51"/>
      <c r="AO102" s="540"/>
      <c r="AP102" s="540"/>
      <c r="AQ102" s="65">
        <f t="shared" si="37"/>
        <v>400</v>
      </c>
      <c r="AR102" s="51"/>
      <c r="AS102" s="540"/>
      <c r="AT102" s="540"/>
      <c r="AU102" s="65">
        <f aca="true" t="shared" si="48" ref="AU102:AU107">AQ102+AS102-AT102</f>
        <v>400</v>
      </c>
      <c r="AV102" s="51"/>
      <c r="AW102" s="540"/>
      <c r="AX102" s="540"/>
      <c r="AY102" s="65">
        <f aca="true" t="shared" si="49" ref="AY102:AY107">AU102+AW102-AX102</f>
        <v>400</v>
      </c>
      <c r="AZ102" s="51"/>
      <c r="BA102" s="541">
        <f aca="true" t="shared" si="50" ref="BA102:BA107">E102+I102+M102+Q102+U102+Y102+AC102+AG102+AK102+AO102+AS102+AW102</f>
        <v>400</v>
      </c>
      <c r="BB102" s="540">
        <f aca="true" t="shared" si="51" ref="BB102:BB107">F102+J102+N102+R102+V102+Z102+AD102+AH102+AL102+AP102+AT102+AX102</f>
        <v>0</v>
      </c>
      <c r="BC102" s="65">
        <f aca="true" t="shared" si="52" ref="BC102:BC107">D102+BA102-BB102</f>
        <v>400</v>
      </c>
    </row>
    <row r="103" spans="1:55" ht="14.25">
      <c r="A103" s="537">
        <v>410203</v>
      </c>
      <c r="B103" s="551" t="s">
        <v>347</v>
      </c>
      <c r="C103" s="66"/>
      <c r="D103" s="542">
        <v>974953</v>
      </c>
      <c r="E103" s="540"/>
      <c r="F103" s="540"/>
      <c r="G103" s="50">
        <f t="shared" si="39"/>
        <v>974953</v>
      </c>
      <c r="H103" s="51"/>
      <c r="I103" s="540"/>
      <c r="J103" s="540"/>
      <c r="K103" s="65">
        <f t="shared" si="40"/>
        <v>974953</v>
      </c>
      <c r="L103" s="51"/>
      <c r="M103" s="540"/>
      <c r="N103" s="540"/>
      <c r="O103" s="65">
        <f t="shared" si="41"/>
        <v>974953</v>
      </c>
      <c r="P103" s="51"/>
      <c r="Q103" s="540"/>
      <c r="R103" s="540"/>
      <c r="S103" s="65">
        <f t="shared" si="42"/>
        <v>974953</v>
      </c>
      <c r="T103" s="51"/>
      <c r="U103" s="540"/>
      <c r="V103" s="540"/>
      <c r="W103" s="65">
        <f t="shared" si="43"/>
        <v>974953</v>
      </c>
      <c r="X103" s="51"/>
      <c r="Y103" s="540"/>
      <c r="Z103" s="540"/>
      <c r="AA103" s="65">
        <f t="shared" si="44"/>
        <v>974953</v>
      </c>
      <c r="AB103" s="51"/>
      <c r="AC103" s="540"/>
      <c r="AD103" s="540"/>
      <c r="AE103" s="65">
        <f t="shared" si="45"/>
        <v>974953</v>
      </c>
      <c r="AF103" s="51"/>
      <c r="AG103" s="540"/>
      <c r="AH103" s="540"/>
      <c r="AI103" s="65">
        <f t="shared" si="46"/>
        <v>974953</v>
      </c>
      <c r="AJ103" s="51"/>
      <c r="AK103" s="540"/>
      <c r="AL103" s="540"/>
      <c r="AM103" s="65">
        <f t="shared" si="47"/>
        <v>974953</v>
      </c>
      <c r="AN103" s="51"/>
      <c r="AO103" s="540"/>
      <c r="AP103" s="540"/>
      <c r="AQ103" s="65">
        <f t="shared" si="37"/>
        <v>974953</v>
      </c>
      <c r="AR103" s="51"/>
      <c r="AS103" s="540"/>
      <c r="AT103" s="540"/>
      <c r="AU103" s="65">
        <f t="shared" si="48"/>
        <v>974953</v>
      </c>
      <c r="AV103" s="51"/>
      <c r="AW103" s="540"/>
      <c r="AX103" s="540"/>
      <c r="AY103" s="65">
        <f t="shared" si="49"/>
        <v>974953</v>
      </c>
      <c r="AZ103" s="51"/>
      <c r="BA103" s="541">
        <f t="shared" si="50"/>
        <v>0</v>
      </c>
      <c r="BB103" s="540">
        <f t="shared" si="51"/>
        <v>0</v>
      </c>
      <c r="BC103" s="65">
        <f t="shared" si="52"/>
        <v>974953</v>
      </c>
    </row>
    <row r="104" spans="1:55" ht="14.25">
      <c r="A104" s="537">
        <v>410204</v>
      </c>
      <c r="B104" s="551" t="s">
        <v>348</v>
      </c>
      <c r="C104" s="66"/>
      <c r="D104" s="542"/>
      <c r="E104" s="540"/>
      <c r="F104" s="540"/>
      <c r="G104" s="50">
        <f t="shared" si="39"/>
        <v>0</v>
      </c>
      <c r="H104" s="51"/>
      <c r="I104" s="540"/>
      <c r="J104" s="540"/>
      <c r="K104" s="65">
        <f t="shared" si="40"/>
        <v>0</v>
      </c>
      <c r="L104" s="51"/>
      <c r="M104" s="540"/>
      <c r="N104" s="540"/>
      <c r="O104" s="65">
        <f t="shared" si="41"/>
        <v>0</v>
      </c>
      <c r="P104" s="51"/>
      <c r="Q104" s="540"/>
      <c r="R104" s="540"/>
      <c r="S104" s="65">
        <f t="shared" si="42"/>
        <v>0</v>
      </c>
      <c r="T104" s="51"/>
      <c r="U104" s="540"/>
      <c r="V104" s="540"/>
      <c r="W104" s="65">
        <f t="shared" si="43"/>
        <v>0</v>
      </c>
      <c r="X104" s="51"/>
      <c r="Y104" s="540"/>
      <c r="Z104" s="540"/>
      <c r="AA104" s="65">
        <f t="shared" si="44"/>
        <v>0</v>
      </c>
      <c r="AB104" s="51"/>
      <c r="AC104" s="540"/>
      <c r="AD104" s="540"/>
      <c r="AE104" s="65">
        <f t="shared" si="45"/>
        <v>0</v>
      </c>
      <c r="AF104" s="51"/>
      <c r="AG104" s="540"/>
      <c r="AH104" s="540"/>
      <c r="AI104" s="65">
        <f t="shared" si="46"/>
        <v>0</v>
      </c>
      <c r="AJ104" s="51"/>
      <c r="AK104" s="540"/>
      <c r="AL104" s="540"/>
      <c r="AM104" s="65">
        <f t="shared" si="47"/>
        <v>0</v>
      </c>
      <c r="AN104" s="51"/>
      <c r="AO104" s="540"/>
      <c r="AP104" s="540"/>
      <c r="AQ104" s="65">
        <f t="shared" si="37"/>
        <v>0</v>
      </c>
      <c r="AR104" s="51"/>
      <c r="AS104" s="540"/>
      <c r="AT104" s="540"/>
      <c r="AU104" s="65">
        <f t="shared" si="48"/>
        <v>0</v>
      </c>
      <c r="AV104" s="51"/>
      <c r="AW104" s="540"/>
      <c r="AX104" s="540"/>
      <c r="AY104" s="65">
        <f t="shared" si="49"/>
        <v>0</v>
      </c>
      <c r="AZ104" s="51"/>
      <c r="BA104" s="541">
        <f t="shared" si="50"/>
        <v>0</v>
      </c>
      <c r="BB104" s="540">
        <f t="shared" si="51"/>
        <v>0</v>
      </c>
      <c r="BC104" s="65">
        <f t="shared" si="52"/>
        <v>0</v>
      </c>
    </row>
    <row r="105" spans="1:55" ht="14.25">
      <c r="A105" s="537">
        <v>410205</v>
      </c>
      <c r="B105" s="551" t="s">
        <v>349</v>
      </c>
      <c r="C105" s="66"/>
      <c r="D105" s="542"/>
      <c r="E105" s="540"/>
      <c r="F105" s="540"/>
      <c r="G105" s="50">
        <f t="shared" si="39"/>
        <v>0</v>
      </c>
      <c r="H105" s="51"/>
      <c r="I105" s="540"/>
      <c r="J105" s="540"/>
      <c r="K105" s="65">
        <f t="shared" si="40"/>
        <v>0</v>
      </c>
      <c r="L105" s="51"/>
      <c r="M105" s="540"/>
      <c r="N105" s="540"/>
      <c r="O105" s="65">
        <f t="shared" si="41"/>
        <v>0</v>
      </c>
      <c r="P105" s="51"/>
      <c r="Q105" s="540"/>
      <c r="R105" s="540"/>
      <c r="S105" s="65">
        <f t="shared" si="42"/>
        <v>0</v>
      </c>
      <c r="T105" s="51"/>
      <c r="U105" s="540"/>
      <c r="V105" s="540"/>
      <c r="W105" s="65">
        <f t="shared" si="43"/>
        <v>0</v>
      </c>
      <c r="X105" s="51"/>
      <c r="Y105" s="540"/>
      <c r="Z105" s="540"/>
      <c r="AA105" s="65">
        <f t="shared" si="44"/>
        <v>0</v>
      </c>
      <c r="AB105" s="51"/>
      <c r="AC105" s="540"/>
      <c r="AD105" s="540"/>
      <c r="AE105" s="65">
        <f t="shared" si="45"/>
        <v>0</v>
      </c>
      <c r="AF105" s="51"/>
      <c r="AG105" s="540"/>
      <c r="AH105" s="540"/>
      <c r="AI105" s="65">
        <f t="shared" si="46"/>
        <v>0</v>
      </c>
      <c r="AJ105" s="51"/>
      <c r="AK105" s="540"/>
      <c r="AL105" s="540"/>
      <c r="AM105" s="65">
        <f t="shared" si="47"/>
        <v>0</v>
      </c>
      <c r="AN105" s="51"/>
      <c r="AO105" s="540"/>
      <c r="AP105" s="540"/>
      <c r="AQ105" s="65">
        <f t="shared" si="37"/>
        <v>0</v>
      </c>
      <c r="AR105" s="51"/>
      <c r="AS105" s="540"/>
      <c r="AT105" s="540"/>
      <c r="AU105" s="65">
        <f t="shared" si="48"/>
        <v>0</v>
      </c>
      <c r="AV105" s="51"/>
      <c r="AW105" s="540"/>
      <c r="AX105" s="540"/>
      <c r="AY105" s="65">
        <f t="shared" si="49"/>
        <v>0</v>
      </c>
      <c r="AZ105" s="51"/>
      <c r="BA105" s="541">
        <f t="shared" si="50"/>
        <v>0</v>
      </c>
      <c r="BB105" s="540">
        <f t="shared" si="51"/>
        <v>0</v>
      </c>
      <c r="BC105" s="65">
        <f t="shared" si="52"/>
        <v>0</v>
      </c>
    </row>
    <row r="106" spans="1:55" ht="14.25">
      <c r="A106" s="537">
        <v>410206</v>
      </c>
      <c r="B106" s="551" t="s">
        <v>350</v>
      </c>
      <c r="C106" s="66"/>
      <c r="D106" s="542"/>
      <c r="E106" s="540"/>
      <c r="F106" s="540"/>
      <c r="G106" s="50">
        <f t="shared" si="39"/>
        <v>0</v>
      </c>
      <c r="H106" s="51"/>
      <c r="I106" s="540"/>
      <c r="J106" s="540"/>
      <c r="K106" s="65">
        <f t="shared" si="40"/>
        <v>0</v>
      </c>
      <c r="L106" s="51"/>
      <c r="M106" s="540"/>
      <c r="N106" s="540"/>
      <c r="O106" s="65">
        <f t="shared" si="41"/>
        <v>0</v>
      </c>
      <c r="P106" s="51"/>
      <c r="Q106" s="540"/>
      <c r="R106" s="540"/>
      <c r="S106" s="65">
        <f t="shared" si="42"/>
        <v>0</v>
      </c>
      <c r="T106" s="51"/>
      <c r="U106" s="540"/>
      <c r="V106" s="540"/>
      <c r="W106" s="65">
        <f t="shared" si="43"/>
        <v>0</v>
      </c>
      <c r="X106" s="51"/>
      <c r="Y106" s="540"/>
      <c r="Z106" s="540"/>
      <c r="AA106" s="65">
        <f t="shared" si="44"/>
        <v>0</v>
      </c>
      <c r="AB106" s="51"/>
      <c r="AC106" s="540"/>
      <c r="AD106" s="540"/>
      <c r="AE106" s="65">
        <f t="shared" si="45"/>
        <v>0</v>
      </c>
      <c r="AF106" s="51"/>
      <c r="AG106" s="540"/>
      <c r="AH106" s="540"/>
      <c r="AI106" s="65">
        <f t="shared" si="46"/>
        <v>0</v>
      </c>
      <c r="AJ106" s="51"/>
      <c r="AK106" s="540"/>
      <c r="AL106" s="540"/>
      <c r="AM106" s="65">
        <f t="shared" si="47"/>
        <v>0</v>
      </c>
      <c r="AN106" s="51"/>
      <c r="AO106" s="540"/>
      <c r="AP106" s="540"/>
      <c r="AQ106" s="65">
        <f t="shared" si="37"/>
        <v>0</v>
      </c>
      <c r="AR106" s="51"/>
      <c r="AS106" s="540"/>
      <c r="AT106" s="540"/>
      <c r="AU106" s="65">
        <f t="shared" si="48"/>
        <v>0</v>
      </c>
      <c r="AV106" s="51"/>
      <c r="AW106" s="540"/>
      <c r="AX106" s="540"/>
      <c r="AY106" s="65">
        <f t="shared" si="49"/>
        <v>0</v>
      </c>
      <c r="AZ106" s="51"/>
      <c r="BA106" s="541">
        <f t="shared" si="50"/>
        <v>0</v>
      </c>
      <c r="BB106" s="540">
        <f t="shared" si="51"/>
        <v>0</v>
      </c>
      <c r="BC106" s="65">
        <f t="shared" si="52"/>
        <v>0</v>
      </c>
    </row>
    <row r="107" spans="1:55" ht="14.25">
      <c r="A107" s="537">
        <v>410207</v>
      </c>
      <c r="B107" s="551" t="s">
        <v>351</v>
      </c>
      <c r="C107" s="66"/>
      <c r="D107" s="542"/>
      <c r="E107" s="540"/>
      <c r="F107" s="540"/>
      <c r="G107" s="50">
        <f t="shared" si="39"/>
        <v>0</v>
      </c>
      <c r="H107" s="51"/>
      <c r="I107" s="540"/>
      <c r="J107" s="540"/>
      <c r="K107" s="65">
        <f t="shared" si="40"/>
        <v>0</v>
      </c>
      <c r="L107" s="51"/>
      <c r="M107" s="540"/>
      <c r="N107" s="540"/>
      <c r="O107" s="65">
        <f t="shared" si="41"/>
        <v>0</v>
      </c>
      <c r="P107" s="51"/>
      <c r="Q107" s="540"/>
      <c r="R107" s="540"/>
      <c r="S107" s="65">
        <f t="shared" si="42"/>
        <v>0</v>
      </c>
      <c r="T107" s="51"/>
      <c r="U107" s="540"/>
      <c r="V107" s="540"/>
      <c r="W107" s="65">
        <f t="shared" si="43"/>
        <v>0</v>
      </c>
      <c r="X107" s="51"/>
      <c r="Y107" s="540"/>
      <c r="Z107" s="540"/>
      <c r="AA107" s="65">
        <f t="shared" si="44"/>
        <v>0</v>
      </c>
      <c r="AB107" s="51"/>
      <c r="AC107" s="540"/>
      <c r="AD107" s="540"/>
      <c r="AE107" s="65">
        <f t="shared" si="45"/>
        <v>0</v>
      </c>
      <c r="AF107" s="51"/>
      <c r="AG107" s="540"/>
      <c r="AH107" s="540"/>
      <c r="AI107" s="65">
        <f t="shared" si="46"/>
        <v>0</v>
      </c>
      <c r="AJ107" s="51"/>
      <c r="AK107" s="540"/>
      <c r="AL107" s="540"/>
      <c r="AM107" s="65">
        <f t="shared" si="47"/>
        <v>0</v>
      </c>
      <c r="AN107" s="51"/>
      <c r="AO107" s="540"/>
      <c r="AP107" s="540"/>
      <c r="AQ107" s="65">
        <f t="shared" si="37"/>
        <v>0</v>
      </c>
      <c r="AR107" s="51"/>
      <c r="AS107" s="540"/>
      <c r="AT107" s="540"/>
      <c r="AU107" s="65">
        <f t="shared" si="48"/>
        <v>0</v>
      </c>
      <c r="AV107" s="51"/>
      <c r="AW107" s="540"/>
      <c r="AX107" s="540"/>
      <c r="AY107" s="65">
        <f t="shared" si="49"/>
        <v>0</v>
      </c>
      <c r="AZ107" s="51"/>
      <c r="BA107" s="541">
        <f t="shared" si="50"/>
        <v>0</v>
      </c>
      <c r="BB107" s="540">
        <f t="shared" si="51"/>
        <v>0</v>
      </c>
      <c r="BC107" s="65">
        <f t="shared" si="52"/>
        <v>0</v>
      </c>
    </row>
    <row r="108" spans="1:55" ht="14.25">
      <c r="A108" s="543" t="s">
        <v>889</v>
      </c>
      <c r="B108" s="681" t="s">
        <v>352</v>
      </c>
      <c r="C108" s="639"/>
      <c r="D108" s="61">
        <f>SUM(D109:D118)</f>
        <v>0</v>
      </c>
      <c r="E108" s="62">
        <f>SUM(E109:E118)</f>
        <v>500</v>
      </c>
      <c r="F108" s="62">
        <f>SUM(F109:F118)</f>
        <v>0</v>
      </c>
      <c r="G108" s="63">
        <f>SUM(G109:G118)</f>
        <v>500</v>
      </c>
      <c r="H108" s="51"/>
      <c r="I108" s="62">
        <f>SUM(I109:I118)</f>
        <v>0</v>
      </c>
      <c r="J108" s="62">
        <f>SUM(J109:J118)</f>
        <v>0</v>
      </c>
      <c r="K108" s="63">
        <f>SUM(K109:K118)</f>
        <v>500</v>
      </c>
      <c r="L108" s="51"/>
      <c r="M108" s="62">
        <f>SUM(M109:M118)</f>
        <v>0</v>
      </c>
      <c r="N108" s="62">
        <f>SUM(N109:N118)</f>
        <v>0</v>
      </c>
      <c r="O108" s="63">
        <f>SUM(O109:O118)</f>
        <v>500</v>
      </c>
      <c r="P108" s="51"/>
      <c r="Q108" s="62">
        <f>SUM(Q109:Q118)</f>
        <v>0</v>
      </c>
      <c r="R108" s="62">
        <f>SUM(R109:R118)</f>
        <v>0</v>
      </c>
      <c r="S108" s="63">
        <f>SUM(S109:S118)</f>
        <v>500</v>
      </c>
      <c r="T108" s="51"/>
      <c r="U108" s="62">
        <f>SUM(U109:U118)</f>
        <v>0</v>
      </c>
      <c r="V108" s="62">
        <f>SUM(V109:V118)</f>
        <v>0</v>
      </c>
      <c r="W108" s="63">
        <f>SUM(W109:W118)</f>
        <v>500</v>
      </c>
      <c r="X108" s="51"/>
      <c r="Y108" s="62">
        <f>SUM(Y109:Y118)</f>
        <v>0</v>
      </c>
      <c r="Z108" s="62">
        <f>SUM(Z109:Z118)</f>
        <v>0</v>
      </c>
      <c r="AA108" s="63">
        <f>SUM(AA109:AA118)</f>
        <v>500</v>
      </c>
      <c r="AB108" s="51"/>
      <c r="AC108" s="62">
        <f>SUM(AC109:AC118)</f>
        <v>0</v>
      </c>
      <c r="AD108" s="62">
        <f>SUM(AD109:AD118)</f>
        <v>0</v>
      </c>
      <c r="AE108" s="63">
        <f>SUM(AE109:AE118)</f>
        <v>500</v>
      </c>
      <c r="AF108" s="51"/>
      <c r="AG108" s="62">
        <f>SUM(AG109:AG118)</f>
        <v>0</v>
      </c>
      <c r="AH108" s="62">
        <f>SUM(AH109:AH118)</f>
        <v>0</v>
      </c>
      <c r="AI108" s="63">
        <f>SUM(AI109:AI118)</f>
        <v>500</v>
      </c>
      <c r="AJ108" s="51"/>
      <c r="AK108" s="62">
        <f>SUM(AK109:AK118)</f>
        <v>0</v>
      </c>
      <c r="AL108" s="62">
        <f>SUM(AL109:AL118)</f>
        <v>0</v>
      </c>
      <c r="AM108" s="63">
        <f>SUM(AM109:AM118)</f>
        <v>500</v>
      </c>
      <c r="AN108" s="51"/>
      <c r="AO108" s="62">
        <f>SUM(AO109:AO118)</f>
        <v>0</v>
      </c>
      <c r="AP108" s="62">
        <f>SUM(AP109:AP118)</f>
        <v>0</v>
      </c>
      <c r="AQ108" s="63">
        <f>SUM(AQ109:AQ118)</f>
        <v>500</v>
      </c>
      <c r="AR108" s="51"/>
      <c r="AS108" s="62">
        <f>SUM(AS109:AS118)</f>
        <v>0</v>
      </c>
      <c r="AT108" s="62">
        <f>SUM(AT109:AT118)</f>
        <v>0</v>
      </c>
      <c r="AU108" s="63">
        <f>SUM(AU109:AU118)</f>
        <v>500</v>
      </c>
      <c r="AV108" s="51"/>
      <c r="AW108" s="62">
        <f>SUM(AW109:AW118)</f>
        <v>0</v>
      </c>
      <c r="AX108" s="62">
        <f>SUM(AX109:AX118)</f>
        <v>0</v>
      </c>
      <c r="AY108" s="63">
        <f>SUM(AY109:AY118)</f>
        <v>500</v>
      </c>
      <c r="AZ108" s="51"/>
      <c r="BA108" s="545">
        <f>SUM(BA109:BA118)</f>
        <v>500</v>
      </c>
      <c r="BB108" s="62">
        <f>SUM(BB109:BB118)</f>
        <v>0</v>
      </c>
      <c r="BC108" s="63">
        <f>SUM(BC109:BC118)</f>
        <v>500</v>
      </c>
    </row>
    <row r="109" spans="1:55" ht="14.25">
      <c r="A109" s="537" t="s">
        <v>277</v>
      </c>
      <c r="B109" s="551" t="s">
        <v>713</v>
      </c>
      <c r="C109" s="64"/>
      <c r="D109" s="542"/>
      <c r="E109" s="540">
        <v>500</v>
      </c>
      <c r="F109" s="540"/>
      <c r="G109" s="50">
        <f t="shared" si="36"/>
        <v>500</v>
      </c>
      <c r="H109" s="51"/>
      <c r="I109" s="540"/>
      <c r="J109" s="540"/>
      <c r="K109" s="65">
        <f>G109+I109-J109</f>
        <v>500</v>
      </c>
      <c r="L109" s="51"/>
      <c r="M109" s="540"/>
      <c r="N109" s="540"/>
      <c r="O109" s="65">
        <f>K109+M109-N109</f>
        <v>500</v>
      </c>
      <c r="P109" s="51"/>
      <c r="Q109" s="540"/>
      <c r="R109" s="540"/>
      <c r="S109" s="65">
        <f>O109+Q109-R109</f>
        <v>500</v>
      </c>
      <c r="T109" s="51"/>
      <c r="U109" s="540"/>
      <c r="V109" s="540"/>
      <c r="W109" s="65">
        <f>S109+U109-V109</f>
        <v>500</v>
      </c>
      <c r="X109" s="51"/>
      <c r="Y109" s="540"/>
      <c r="Z109" s="540"/>
      <c r="AA109" s="65">
        <f>W109+Y109-Z109</f>
        <v>500</v>
      </c>
      <c r="AB109" s="51"/>
      <c r="AC109" s="540"/>
      <c r="AD109" s="540"/>
      <c r="AE109" s="65">
        <f>AA109+AC109-AD109</f>
        <v>500</v>
      </c>
      <c r="AF109" s="51"/>
      <c r="AG109" s="540"/>
      <c r="AH109" s="540"/>
      <c r="AI109" s="65">
        <f>AE109+AG109-AH109</f>
        <v>500</v>
      </c>
      <c r="AJ109" s="51"/>
      <c r="AK109" s="540"/>
      <c r="AL109" s="540"/>
      <c r="AM109" s="65">
        <f>AI109+AK109-AL109</f>
        <v>500</v>
      </c>
      <c r="AN109" s="51"/>
      <c r="AO109" s="540"/>
      <c r="AP109" s="540"/>
      <c r="AQ109" s="65">
        <f>AM109+AO109-AP109</f>
        <v>500</v>
      </c>
      <c r="AR109" s="51"/>
      <c r="AS109" s="540"/>
      <c r="AT109" s="540"/>
      <c r="AU109" s="65">
        <f>AQ109+AS109-AT109</f>
        <v>500</v>
      </c>
      <c r="AV109" s="51"/>
      <c r="AW109" s="540"/>
      <c r="AX109" s="540"/>
      <c r="AY109" s="65">
        <f>AU109+AW109-AX109</f>
        <v>500</v>
      </c>
      <c r="AZ109" s="51"/>
      <c r="BA109" s="541">
        <f t="shared" si="34"/>
        <v>500</v>
      </c>
      <c r="BB109" s="540">
        <f t="shared" si="35"/>
        <v>0</v>
      </c>
      <c r="BC109" s="65">
        <f t="shared" si="38"/>
        <v>500</v>
      </c>
    </row>
    <row r="110" spans="1:55" ht="14.25">
      <c r="A110" s="537" t="s">
        <v>278</v>
      </c>
      <c r="B110" s="551" t="s">
        <v>520</v>
      </c>
      <c r="C110" s="64"/>
      <c r="D110" s="542"/>
      <c r="E110" s="540"/>
      <c r="F110" s="540"/>
      <c r="G110" s="50">
        <f t="shared" si="36"/>
        <v>0</v>
      </c>
      <c r="H110" s="51"/>
      <c r="I110" s="540"/>
      <c r="J110" s="540"/>
      <c r="K110" s="65">
        <f aca="true" t="shared" si="53" ref="K110:K118">G110+I110-J110</f>
        <v>0</v>
      </c>
      <c r="L110" s="51"/>
      <c r="M110" s="540"/>
      <c r="N110" s="540"/>
      <c r="O110" s="65">
        <f aca="true" t="shared" si="54" ref="O110:O118">K110+M110-N110</f>
        <v>0</v>
      </c>
      <c r="P110" s="51"/>
      <c r="Q110" s="540"/>
      <c r="R110" s="540"/>
      <c r="S110" s="65">
        <f aca="true" t="shared" si="55" ref="S110:S118">O110+Q110-R110</f>
        <v>0</v>
      </c>
      <c r="T110" s="51"/>
      <c r="U110" s="540"/>
      <c r="V110" s="540"/>
      <c r="W110" s="65">
        <f aca="true" t="shared" si="56" ref="W110:W118">S110+U110-V110</f>
        <v>0</v>
      </c>
      <c r="X110" s="51"/>
      <c r="Y110" s="540"/>
      <c r="Z110" s="540"/>
      <c r="AA110" s="65">
        <f aca="true" t="shared" si="57" ref="AA110:AA118">W110+Y110-Z110</f>
        <v>0</v>
      </c>
      <c r="AB110" s="51"/>
      <c r="AC110" s="540"/>
      <c r="AD110" s="540"/>
      <c r="AE110" s="65">
        <f aca="true" t="shared" si="58" ref="AE110:AE118">AA110+AC110-AD110</f>
        <v>0</v>
      </c>
      <c r="AF110" s="51"/>
      <c r="AG110" s="540"/>
      <c r="AH110" s="540"/>
      <c r="AI110" s="65">
        <f aca="true" t="shared" si="59" ref="AI110:AI118">AE110+AG110-AH110</f>
        <v>0</v>
      </c>
      <c r="AJ110" s="51"/>
      <c r="AK110" s="540"/>
      <c r="AL110" s="540"/>
      <c r="AM110" s="65">
        <f aca="true" t="shared" si="60" ref="AM110:AM118">AI110+AK110-AL110</f>
        <v>0</v>
      </c>
      <c r="AN110" s="51"/>
      <c r="AO110" s="540"/>
      <c r="AP110" s="540"/>
      <c r="AQ110" s="65">
        <f aca="true" t="shared" si="61" ref="AQ110:AQ118">AM110+AO110-AP110</f>
        <v>0</v>
      </c>
      <c r="AR110" s="51"/>
      <c r="AS110" s="540"/>
      <c r="AT110" s="540"/>
      <c r="AU110" s="65">
        <f aca="true" t="shared" si="62" ref="AU110:AU118">AQ110+AS110-AT110</f>
        <v>0</v>
      </c>
      <c r="AV110" s="51"/>
      <c r="AW110" s="540"/>
      <c r="AX110" s="540"/>
      <c r="AY110" s="65">
        <f aca="true" t="shared" si="63" ref="AY110:AY118">AU110+AW110-AX110</f>
        <v>0</v>
      </c>
      <c r="AZ110" s="51"/>
      <c r="BA110" s="541">
        <f t="shared" si="34"/>
        <v>0</v>
      </c>
      <c r="BB110" s="540">
        <f t="shared" si="35"/>
        <v>0</v>
      </c>
      <c r="BC110" s="65">
        <f t="shared" si="38"/>
        <v>0</v>
      </c>
    </row>
    <row r="111" spans="1:55" ht="14.25">
      <c r="A111" s="537" t="s">
        <v>279</v>
      </c>
      <c r="B111" s="551" t="s">
        <v>29</v>
      </c>
      <c r="C111" s="56"/>
      <c r="D111" s="542"/>
      <c r="E111" s="540"/>
      <c r="F111" s="540"/>
      <c r="G111" s="50">
        <f t="shared" si="36"/>
        <v>0</v>
      </c>
      <c r="H111" s="51"/>
      <c r="I111" s="540"/>
      <c r="J111" s="540"/>
      <c r="K111" s="65">
        <f t="shared" si="53"/>
        <v>0</v>
      </c>
      <c r="L111" s="51"/>
      <c r="M111" s="540"/>
      <c r="N111" s="540"/>
      <c r="O111" s="65">
        <f t="shared" si="54"/>
        <v>0</v>
      </c>
      <c r="P111" s="51"/>
      <c r="Q111" s="540"/>
      <c r="R111" s="540"/>
      <c r="S111" s="65">
        <f t="shared" si="55"/>
        <v>0</v>
      </c>
      <c r="T111" s="51"/>
      <c r="U111" s="540"/>
      <c r="V111" s="540"/>
      <c r="W111" s="65">
        <f t="shared" si="56"/>
        <v>0</v>
      </c>
      <c r="X111" s="51"/>
      <c r="Y111" s="540"/>
      <c r="Z111" s="540"/>
      <c r="AA111" s="65">
        <f t="shared" si="57"/>
        <v>0</v>
      </c>
      <c r="AB111" s="51"/>
      <c r="AC111" s="540"/>
      <c r="AD111" s="540"/>
      <c r="AE111" s="65">
        <f t="shared" si="58"/>
        <v>0</v>
      </c>
      <c r="AF111" s="51"/>
      <c r="AG111" s="540"/>
      <c r="AH111" s="540"/>
      <c r="AI111" s="65">
        <f t="shared" si="59"/>
        <v>0</v>
      </c>
      <c r="AJ111" s="51"/>
      <c r="AK111" s="540"/>
      <c r="AL111" s="540"/>
      <c r="AM111" s="65">
        <f t="shared" si="60"/>
        <v>0</v>
      </c>
      <c r="AN111" s="51"/>
      <c r="AO111" s="540"/>
      <c r="AP111" s="540"/>
      <c r="AQ111" s="65">
        <f t="shared" si="61"/>
        <v>0</v>
      </c>
      <c r="AR111" s="51"/>
      <c r="AS111" s="540"/>
      <c r="AT111" s="540"/>
      <c r="AU111" s="65">
        <f t="shared" si="62"/>
        <v>0</v>
      </c>
      <c r="AV111" s="51"/>
      <c r="AW111" s="540"/>
      <c r="AX111" s="540"/>
      <c r="AY111" s="65">
        <f t="shared" si="63"/>
        <v>0</v>
      </c>
      <c r="AZ111" s="51"/>
      <c r="BA111" s="541">
        <f t="shared" si="34"/>
        <v>0</v>
      </c>
      <c r="BB111" s="540">
        <f t="shared" si="35"/>
        <v>0</v>
      </c>
      <c r="BC111" s="65">
        <f t="shared" si="38"/>
        <v>0</v>
      </c>
    </row>
    <row r="112" spans="1:55" ht="14.25">
      <c r="A112" s="537" t="s">
        <v>280</v>
      </c>
      <c r="B112" s="551" t="s">
        <v>27</v>
      </c>
      <c r="C112" s="56"/>
      <c r="D112" s="542"/>
      <c r="E112" s="540"/>
      <c r="F112" s="540"/>
      <c r="G112" s="50">
        <f t="shared" si="36"/>
        <v>0</v>
      </c>
      <c r="H112" s="51"/>
      <c r="I112" s="540"/>
      <c r="J112" s="540"/>
      <c r="K112" s="65">
        <f t="shared" si="53"/>
        <v>0</v>
      </c>
      <c r="L112" s="51"/>
      <c r="M112" s="540"/>
      <c r="N112" s="540"/>
      <c r="O112" s="65">
        <f t="shared" si="54"/>
        <v>0</v>
      </c>
      <c r="P112" s="51"/>
      <c r="Q112" s="540"/>
      <c r="R112" s="540"/>
      <c r="S112" s="65">
        <f t="shared" si="55"/>
        <v>0</v>
      </c>
      <c r="T112" s="51"/>
      <c r="U112" s="540"/>
      <c r="V112" s="540"/>
      <c r="W112" s="65">
        <f t="shared" si="56"/>
        <v>0</v>
      </c>
      <c r="X112" s="51"/>
      <c r="Y112" s="540"/>
      <c r="Z112" s="540"/>
      <c r="AA112" s="65">
        <f t="shared" si="57"/>
        <v>0</v>
      </c>
      <c r="AB112" s="51"/>
      <c r="AC112" s="540"/>
      <c r="AD112" s="540"/>
      <c r="AE112" s="65">
        <f t="shared" si="58"/>
        <v>0</v>
      </c>
      <c r="AF112" s="51"/>
      <c r="AG112" s="540"/>
      <c r="AH112" s="540"/>
      <c r="AI112" s="65">
        <f t="shared" si="59"/>
        <v>0</v>
      </c>
      <c r="AJ112" s="51"/>
      <c r="AK112" s="540"/>
      <c r="AL112" s="540"/>
      <c r="AM112" s="65">
        <f t="shared" si="60"/>
        <v>0</v>
      </c>
      <c r="AN112" s="51"/>
      <c r="AO112" s="540"/>
      <c r="AP112" s="540"/>
      <c r="AQ112" s="65">
        <f t="shared" si="61"/>
        <v>0</v>
      </c>
      <c r="AR112" s="51"/>
      <c r="AS112" s="540"/>
      <c r="AT112" s="540"/>
      <c r="AU112" s="65">
        <f t="shared" si="62"/>
        <v>0</v>
      </c>
      <c r="AV112" s="51"/>
      <c r="AW112" s="540"/>
      <c r="AX112" s="540"/>
      <c r="AY112" s="65">
        <f t="shared" si="63"/>
        <v>0</v>
      </c>
      <c r="AZ112" s="51"/>
      <c r="BA112" s="541">
        <f t="shared" si="34"/>
        <v>0</v>
      </c>
      <c r="BB112" s="540">
        <f t="shared" si="35"/>
        <v>0</v>
      </c>
      <c r="BC112" s="65">
        <f t="shared" si="38"/>
        <v>0</v>
      </c>
    </row>
    <row r="113" spans="1:55" ht="14.25">
      <c r="A113" s="537" t="s">
        <v>281</v>
      </c>
      <c r="B113" s="551" t="s">
        <v>618</v>
      </c>
      <c r="C113" s="68"/>
      <c r="D113" s="49"/>
      <c r="E113" s="7"/>
      <c r="F113" s="540"/>
      <c r="G113" s="50">
        <f t="shared" si="36"/>
        <v>0</v>
      </c>
      <c r="H113" s="51"/>
      <c r="I113" s="7"/>
      <c r="J113" s="540"/>
      <c r="K113" s="65">
        <f t="shared" si="53"/>
        <v>0</v>
      </c>
      <c r="L113" s="51"/>
      <c r="M113" s="7"/>
      <c r="N113" s="540"/>
      <c r="O113" s="65">
        <f t="shared" si="54"/>
        <v>0</v>
      </c>
      <c r="P113" s="51"/>
      <c r="Q113" s="7"/>
      <c r="R113" s="540"/>
      <c r="S113" s="65">
        <f t="shared" si="55"/>
        <v>0</v>
      </c>
      <c r="T113" s="51"/>
      <c r="U113" s="7"/>
      <c r="V113" s="540"/>
      <c r="W113" s="65">
        <f t="shared" si="56"/>
        <v>0</v>
      </c>
      <c r="X113" s="51"/>
      <c r="Y113" s="7"/>
      <c r="Z113" s="540"/>
      <c r="AA113" s="65">
        <f t="shared" si="57"/>
        <v>0</v>
      </c>
      <c r="AB113" s="51"/>
      <c r="AC113" s="7"/>
      <c r="AD113" s="540"/>
      <c r="AE113" s="65">
        <f t="shared" si="58"/>
        <v>0</v>
      </c>
      <c r="AF113" s="51"/>
      <c r="AG113" s="7"/>
      <c r="AH113" s="540"/>
      <c r="AI113" s="65">
        <f t="shared" si="59"/>
        <v>0</v>
      </c>
      <c r="AJ113" s="51"/>
      <c r="AK113" s="7"/>
      <c r="AL113" s="540"/>
      <c r="AM113" s="65">
        <f t="shared" si="60"/>
        <v>0</v>
      </c>
      <c r="AN113" s="51"/>
      <c r="AO113" s="7"/>
      <c r="AP113" s="540"/>
      <c r="AQ113" s="65">
        <f t="shared" si="61"/>
        <v>0</v>
      </c>
      <c r="AR113" s="51"/>
      <c r="AS113" s="7"/>
      <c r="AT113" s="540"/>
      <c r="AU113" s="65">
        <f t="shared" si="62"/>
        <v>0</v>
      </c>
      <c r="AV113" s="51"/>
      <c r="AW113" s="7"/>
      <c r="AX113" s="540"/>
      <c r="AY113" s="65">
        <f t="shared" si="63"/>
        <v>0</v>
      </c>
      <c r="AZ113" s="51"/>
      <c r="BA113" s="53">
        <f t="shared" si="34"/>
        <v>0</v>
      </c>
      <c r="BB113" s="7">
        <f t="shared" si="35"/>
        <v>0</v>
      </c>
      <c r="BC113" s="65">
        <f t="shared" si="38"/>
        <v>0</v>
      </c>
    </row>
    <row r="114" spans="1:55" ht="15">
      <c r="A114" s="537" t="s">
        <v>282</v>
      </c>
      <c r="B114" s="551" t="s">
        <v>26</v>
      </c>
      <c r="C114" s="69"/>
      <c r="D114" s="49"/>
      <c r="E114" s="7"/>
      <c r="F114" s="540"/>
      <c r="G114" s="50">
        <f t="shared" si="36"/>
        <v>0</v>
      </c>
      <c r="H114" s="51"/>
      <c r="I114" s="7"/>
      <c r="J114" s="540"/>
      <c r="K114" s="65">
        <f t="shared" si="53"/>
        <v>0</v>
      </c>
      <c r="L114" s="51"/>
      <c r="M114" s="7"/>
      <c r="N114" s="540"/>
      <c r="O114" s="65">
        <f t="shared" si="54"/>
        <v>0</v>
      </c>
      <c r="P114" s="51"/>
      <c r="Q114" s="7"/>
      <c r="R114" s="540"/>
      <c r="S114" s="65">
        <f t="shared" si="55"/>
        <v>0</v>
      </c>
      <c r="T114" s="51"/>
      <c r="U114" s="7"/>
      <c r="V114" s="540"/>
      <c r="W114" s="65">
        <f t="shared" si="56"/>
        <v>0</v>
      </c>
      <c r="X114" s="51"/>
      <c r="Y114" s="7"/>
      <c r="Z114" s="540"/>
      <c r="AA114" s="65">
        <f t="shared" si="57"/>
        <v>0</v>
      </c>
      <c r="AB114" s="51"/>
      <c r="AC114" s="7"/>
      <c r="AD114" s="540"/>
      <c r="AE114" s="65">
        <f t="shared" si="58"/>
        <v>0</v>
      </c>
      <c r="AF114" s="51"/>
      <c r="AG114" s="7"/>
      <c r="AH114" s="540"/>
      <c r="AI114" s="65">
        <f t="shared" si="59"/>
        <v>0</v>
      </c>
      <c r="AJ114" s="51"/>
      <c r="AK114" s="7"/>
      <c r="AL114" s="540"/>
      <c r="AM114" s="65">
        <f t="shared" si="60"/>
        <v>0</v>
      </c>
      <c r="AN114" s="51"/>
      <c r="AO114" s="7"/>
      <c r="AP114" s="540"/>
      <c r="AQ114" s="65">
        <f t="shared" si="61"/>
        <v>0</v>
      </c>
      <c r="AR114" s="51"/>
      <c r="AS114" s="7"/>
      <c r="AT114" s="540"/>
      <c r="AU114" s="65">
        <f t="shared" si="62"/>
        <v>0</v>
      </c>
      <c r="AV114" s="51"/>
      <c r="AW114" s="7"/>
      <c r="AX114" s="540"/>
      <c r="AY114" s="65">
        <f t="shared" si="63"/>
        <v>0</v>
      </c>
      <c r="AZ114" s="51"/>
      <c r="BA114" s="53">
        <f aca="true" t="shared" si="64" ref="BA114:BA133">E114+I114+M114+Q114+U114+Y114+AC114+AG114+AK114+AO114+AS114+AW114</f>
        <v>0</v>
      </c>
      <c r="BB114" s="7">
        <f aca="true" t="shared" si="65" ref="BB114:BB133">F114+J114+N114+R114+V114+Z114+AD114+AH114+AL114+AP114+AT114+AX114</f>
        <v>0</v>
      </c>
      <c r="BC114" s="65">
        <f t="shared" si="38"/>
        <v>0</v>
      </c>
    </row>
    <row r="115" spans="1:55" ht="15">
      <c r="A115" s="537" t="s">
        <v>283</v>
      </c>
      <c r="B115" s="551" t="s">
        <v>521</v>
      </c>
      <c r="C115" s="69"/>
      <c r="D115" s="49"/>
      <c r="E115" s="7"/>
      <c r="F115" s="540"/>
      <c r="G115" s="50">
        <f t="shared" si="36"/>
        <v>0</v>
      </c>
      <c r="H115" s="51"/>
      <c r="I115" s="7"/>
      <c r="J115" s="540"/>
      <c r="K115" s="65">
        <f t="shared" si="53"/>
        <v>0</v>
      </c>
      <c r="L115" s="51"/>
      <c r="M115" s="7"/>
      <c r="N115" s="540"/>
      <c r="O115" s="65">
        <f t="shared" si="54"/>
        <v>0</v>
      </c>
      <c r="P115" s="51"/>
      <c r="Q115" s="7"/>
      <c r="R115" s="540"/>
      <c r="S115" s="65">
        <f t="shared" si="55"/>
        <v>0</v>
      </c>
      <c r="T115" s="51"/>
      <c r="U115" s="7"/>
      <c r="V115" s="540"/>
      <c r="W115" s="65">
        <f t="shared" si="56"/>
        <v>0</v>
      </c>
      <c r="X115" s="51"/>
      <c r="Y115" s="7"/>
      <c r="Z115" s="540"/>
      <c r="AA115" s="65">
        <f t="shared" si="57"/>
        <v>0</v>
      </c>
      <c r="AB115" s="51"/>
      <c r="AC115" s="7"/>
      <c r="AD115" s="540"/>
      <c r="AE115" s="65">
        <f t="shared" si="58"/>
        <v>0</v>
      </c>
      <c r="AF115" s="51"/>
      <c r="AG115" s="7"/>
      <c r="AH115" s="540"/>
      <c r="AI115" s="65">
        <f t="shared" si="59"/>
        <v>0</v>
      </c>
      <c r="AJ115" s="51"/>
      <c r="AK115" s="7"/>
      <c r="AL115" s="540"/>
      <c r="AM115" s="65">
        <f t="shared" si="60"/>
        <v>0</v>
      </c>
      <c r="AN115" s="51"/>
      <c r="AO115" s="7"/>
      <c r="AP115" s="540"/>
      <c r="AQ115" s="65">
        <f t="shared" si="61"/>
        <v>0</v>
      </c>
      <c r="AR115" s="51"/>
      <c r="AS115" s="7"/>
      <c r="AT115" s="540"/>
      <c r="AU115" s="65">
        <f t="shared" si="62"/>
        <v>0</v>
      </c>
      <c r="AV115" s="51"/>
      <c r="AW115" s="7"/>
      <c r="AX115" s="540"/>
      <c r="AY115" s="65">
        <f t="shared" si="63"/>
        <v>0</v>
      </c>
      <c r="AZ115" s="51"/>
      <c r="BA115" s="53">
        <f t="shared" si="64"/>
        <v>0</v>
      </c>
      <c r="BB115" s="7">
        <f t="shared" si="65"/>
        <v>0</v>
      </c>
      <c r="BC115" s="65">
        <f t="shared" si="38"/>
        <v>0</v>
      </c>
    </row>
    <row r="116" spans="1:55" ht="14.25">
      <c r="A116" s="537" t="s">
        <v>284</v>
      </c>
      <c r="B116" s="551" t="s">
        <v>522</v>
      </c>
      <c r="C116" s="68"/>
      <c r="D116" s="49"/>
      <c r="E116" s="7"/>
      <c r="F116" s="540"/>
      <c r="G116" s="50">
        <f t="shared" si="36"/>
        <v>0</v>
      </c>
      <c r="H116" s="51"/>
      <c r="I116" s="7"/>
      <c r="J116" s="540"/>
      <c r="K116" s="65">
        <f t="shared" si="53"/>
        <v>0</v>
      </c>
      <c r="L116" s="51"/>
      <c r="M116" s="7"/>
      <c r="N116" s="540"/>
      <c r="O116" s="65">
        <f t="shared" si="54"/>
        <v>0</v>
      </c>
      <c r="P116" s="51"/>
      <c r="Q116" s="7"/>
      <c r="R116" s="540"/>
      <c r="S116" s="65">
        <f t="shared" si="55"/>
        <v>0</v>
      </c>
      <c r="T116" s="51"/>
      <c r="U116" s="7"/>
      <c r="V116" s="540"/>
      <c r="W116" s="65">
        <f t="shared" si="56"/>
        <v>0</v>
      </c>
      <c r="X116" s="51"/>
      <c r="Y116" s="7"/>
      <c r="Z116" s="540"/>
      <c r="AA116" s="65">
        <f t="shared" si="57"/>
        <v>0</v>
      </c>
      <c r="AB116" s="51"/>
      <c r="AC116" s="7"/>
      <c r="AD116" s="540"/>
      <c r="AE116" s="65">
        <f t="shared" si="58"/>
        <v>0</v>
      </c>
      <c r="AF116" s="51"/>
      <c r="AG116" s="7"/>
      <c r="AH116" s="540"/>
      <c r="AI116" s="65">
        <f t="shared" si="59"/>
        <v>0</v>
      </c>
      <c r="AJ116" s="51"/>
      <c r="AK116" s="7"/>
      <c r="AL116" s="540"/>
      <c r="AM116" s="65">
        <f t="shared" si="60"/>
        <v>0</v>
      </c>
      <c r="AN116" s="51"/>
      <c r="AO116" s="7"/>
      <c r="AP116" s="540"/>
      <c r="AQ116" s="65">
        <f t="shared" si="61"/>
        <v>0</v>
      </c>
      <c r="AR116" s="51"/>
      <c r="AS116" s="7"/>
      <c r="AT116" s="540"/>
      <c r="AU116" s="65">
        <f t="shared" si="62"/>
        <v>0</v>
      </c>
      <c r="AV116" s="51"/>
      <c r="AW116" s="7"/>
      <c r="AX116" s="540"/>
      <c r="AY116" s="65">
        <f t="shared" si="63"/>
        <v>0</v>
      </c>
      <c r="AZ116" s="51"/>
      <c r="BA116" s="53">
        <f t="shared" si="64"/>
        <v>0</v>
      </c>
      <c r="BB116" s="7">
        <f t="shared" si="65"/>
        <v>0</v>
      </c>
      <c r="BC116" s="65">
        <f t="shared" si="38"/>
        <v>0</v>
      </c>
    </row>
    <row r="117" spans="1:55" ht="15">
      <c r="A117" s="537" t="s">
        <v>285</v>
      </c>
      <c r="B117" s="551" t="s">
        <v>386</v>
      </c>
      <c r="C117" s="69"/>
      <c r="D117" s="49"/>
      <c r="E117" s="7"/>
      <c r="F117" s="540"/>
      <c r="G117" s="50">
        <f t="shared" si="36"/>
        <v>0</v>
      </c>
      <c r="H117" s="51"/>
      <c r="I117" s="7"/>
      <c r="J117" s="540"/>
      <c r="K117" s="65">
        <f t="shared" si="53"/>
        <v>0</v>
      </c>
      <c r="L117" s="51"/>
      <c r="M117" s="7"/>
      <c r="N117" s="540"/>
      <c r="O117" s="65">
        <f t="shared" si="54"/>
        <v>0</v>
      </c>
      <c r="P117" s="51"/>
      <c r="Q117" s="7"/>
      <c r="R117" s="540"/>
      <c r="S117" s="65">
        <f t="shared" si="55"/>
        <v>0</v>
      </c>
      <c r="T117" s="51"/>
      <c r="U117" s="7"/>
      <c r="V117" s="540"/>
      <c r="W117" s="65">
        <f t="shared" si="56"/>
        <v>0</v>
      </c>
      <c r="X117" s="51"/>
      <c r="Y117" s="7"/>
      <c r="Z117" s="540"/>
      <c r="AA117" s="65">
        <f t="shared" si="57"/>
        <v>0</v>
      </c>
      <c r="AB117" s="51"/>
      <c r="AC117" s="7"/>
      <c r="AD117" s="540"/>
      <c r="AE117" s="65">
        <f t="shared" si="58"/>
        <v>0</v>
      </c>
      <c r="AF117" s="51"/>
      <c r="AG117" s="7"/>
      <c r="AH117" s="540"/>
      <c r="AI117" s="65">
        <f t="shared" si="59"/>
        <v>0</v>
      </c>
      <c r="AJ117" s="51"/>
      <c r="AK117" s="7"/>
      <c r="AL117" s="540"/>
      <c r="AM117" s="65">
        <f t="shared" si="60"/>
        <v>0</v>
      </c>
      <c r="AN117" s="51"/>
      <c r="AO117" s="7"/>
      <c r="AP117" s="540"/>
      <c r="AQ117" s="65">
        <f t="shared" si="61"/>
        <v>0</v>
      </c>
      <c r="AR117" s="51"/>
      <c r="AS117" s="7"/>
      <c r="AT117" s="540"/>
      <c r="AU117" s="65">
        <f t="shared" si="62"/>
        <v>0</v>
      </c>
      <c r="AV117" s="51"/>
      <c r="AW117" s="7"/>
      <c r="AX117" s="540"/>
      <c r="AY117" s="65">
        <f t="shared" si="63"/>
        <v>0</v>
      </c>
      <c r="AZ117" s="51"/>
      <c r="BA117" s="53">
        <f t="shared" si="64"/>
        <v>0</v>
      </c>
      <c r="BB117" s="7">
        <f t="shared" si="65"/>
        <v>0</v>
      </c>
      <c r="BC117" s="65">
        <f t="shared" si="38"/>
        <v>0</v>
      </c>
    </row>
    <row r="118" spans="1:55" ht="14.25">
      <c r="A118" s="537" t="s">
        <v>286</v>
      </c>
      <c r="B118" s="551" t="s">
        <v>1019</v>
      </c>
      <c r="C118" s="68"/>
      <c r="D118" s="49"/>
      <c r="E118" s="7"/>
      <c r="F118" s="540"/>
      <c r="G118" s="50">
        <f t="shared" si="36"/>
        <v>0</v>
      </c>
      <c r="H118" s="51"/>
      <c r="I118" s="7"/>
      <c r="J118" s="540"/>
      <c r="K118" s="65">
        <f t="shared" si="53"/>
        <v>0</v>
      </c>
      <c r="L118" s="51"/>
      <c r="M118" s="7"/>
      <c r="N118" s="540"/>
      <c r="O118" s="65">
        <f t="shared" si="54"/>
        <v>0</v>
      </c>
      <c r="P118" s="51"/>
      <c r="Q118" s="7"/>
      <c r="R118" s="540"/>
      <c r="S118" s="65">
        <f t="shared" si="55"/>
        <v>0</v>
      </c>
      <c r="T118" s="51"/>
      <c r="U118" s="7"/>
      <c r="V118" s="540"/>
      <c r="W118" s="65">
        <f t="shared" si="56"/>
        <v>0</v>
      </c>
      <c r="X118" s="51"/>
      <c r="Y118" s="7"/>
      <c r="Z118" s="540"/>
      <c r="AA118" s="65">
        <f t="shared" si="57"/>
        <v>0</v>
      </c>
      <c r="AB118" s="51"/>
      <c r="AC118" s="7"/>
      <c r="AD118" s="540"/>
      <c r="AE118" s="65">
        <f t="shared" si="58"/>
        <v>0</v>
      </c>
      <c r="AF118" s="51"/>
      <c r="AG118" s="7"/>
      <c r="AH118" s="540"/>
      <c r="AI118" s="65">
        <f t="shared" si="59"/>
        <v>0</v>
      </c>
      <c r="AJ118" s="51"/>
      <c r="AK118" s="7"/>
      <c r="AL118" s="540"/>
      <c r="AM118" s="65">
        <f t="shared" si="60"/>
        <v>0</v>
      </c>
      <c r="AN118" s="51"/>
      <c r="AO118" s="7"/>
      <c r="AP118" s="540"/>
      <c r="AQ118" s="65">
        <f t="shared" si="61"/>
        <v>0</v>
      </c>
      <c r="AR118" s="51"/>
      <c r="AS118" s="7"/>
      <c r="AT118" s="540"/>
      <c r="AU118" s="65">
        <f t="shared" si="62"/>
        <v>0</v>
      </c>
      <c r="AV118" s="51"/>
      <c r="AW118" s="7"/>
      <c r="AX118" s="540"/>
      <c r="AY118" s="65">
        <f t="shared" si="63"/>
        <v>0</v>
      </c>
      <c r="AZ118" s="51"/>
      <c r="BA118" s="53">
        <f t="shared" si="64"/>
        <v>0</v>
      </c>
      <c r="BB118" s="7">
        <f t="shared" si="65"/>
        <v>0</v>
      </c>
      <c r="BC118" s="65">
        <f t="shared" si="38"/>
        <v>0</v>
      </c>
    </row>
    <row r="119" spans="1:55" ht="15">
      <c r="A119" s="537" t="s">
        <v>891</v>
      </c>
      <c r="B119" s="677" t="s">
        <v>755</v>
      </c>
      <c r="C119" s="69"/>
      <c r="D119" s="49"/>
      <c r="E119" s="7"/>
      <c r="F119" s="540">
        <v>80000</v>
      </c>
      <c r="G119" s="546">
        <f>D119+F119-E119</f>
        <v>80000</v>
      </c>
      <c r="H119" s="51"/>
      <c r="I119" s="7"/>
      <c r="J119" s="540"/>
      <c r="K119" s="549">
        <f>G119+J119-I119</f>
        <v>80000</v>
      </c>
      <c r="L119" s="51"/>
      <c r="M119" s="7"/>
      <c r="N119" s="540"/>
      <c r="O119" s="549">
        <f>K119+N119-M119</f>
        <v>80000</v>
      </c>
      <c r="P119" s="51"/>
      <c r="Q119" s="7"/>
      <c r="R119" s="540"/>
      <c r="S119" s="549">
        <f>O119+R119-Q119</f>
        <v>80000</v>
      </c>
      <c r="T119" s="51"/>
      <c r="U119" s="7"/>
      <c r="V119" s="540"/>
      <c r="W119" s="549">
        <f>S119+V119-U119</f>
        <v>80000</v>
      </c>
      <c r="X119" s="51"/>
      <c r="Y119" s="7"/>
      <c r="Z119" s="540"/>
      <c r="AA119" s="549">
        <f>W119+Z119-Y119</f>
        <v>80000</v>
      </c>
      <c r="AB119" s="51"/>
      <c r="AC119" s="7"/>
      <c r="AD119" s="540"/>
      <c r="AE119" s="549">
        <f>AA119+AD119-AC119</f>
        <v>80000</v>
      </c>
      <c r="AF119" s="51"/>
      <c r="AG119" s="7"/>
      <c r="AH119" s="540"/>
      <c r="AI119" s="549">
        <f>AE119+AH119-AG119</f>
        <v>80000</v>
      </c>
      <c r="AJ119" s="51"/>
      <c r="AK119" s="7"/>
      <c r="AL119" s="540"/>
      <c r="AM119" s="549">
        <f>AI119+AL119-AK119</f>
        <v>80000</v>
      </c>
      <c r="AN119" s="51"/>
      <c r="AO119" s="7"/>
      <c r="AP119" s="540"/>
      <c r="AQ119" s="549">
        <f>AM119+AP119-AO119</f>
        <v>80000</v>
      </c>
      <c r="AR119" s="51"/>
      <c r="AS119" s="7"/>
      <c r="AT119" s="540"/>
      <c r="AU119" s="549">
        <f>AQ119+AT119-AS119</f>
        <v>80000</v>
      </c>
      <c r="AV119" s="51"/>
      <c r="AW119" s="7"/>
      <c r="AX119" s="540"/>
      <c r="AY119" s="549">
        <f>AU119+AX119-AW119</f>
        <v>80000</v>
      </c>
      <c r="AZ119" s="51"/>
      <c r="BA119" s="53">
        <f t="shared" si="64"/>
        <v>0</v>
      </c>
      <c r="BB119" s="7">
        <f t="shared" si="65"/>
        <v>80000</v>
      </c>
      <c r="BC119" s="549">
        <f>D119+BB119-BA119</f>
        <v>80000</v>
      </c>
    </row>
    <row r="120" spans="1:55" ht="15">
      <c r="A120" s="537" t="s">
        <v>893</v>
      </c>
      <c r="B120" s="677" t="s">
        <v>54</v>
      </c>
      <c r="C120" s="70"/>
      <c r="D120" s="49"/>
      <c r="E120" s="7"/>
      <c r="F120" s="540"/>
      <c r="G120" s="546">
        <f>D120+F120-E120</f>
        <v>0</v>
      </c>
      <c r="H120" s="51"/>
      <c r="I120" s="7"/>
      <c r="J120" s="540"/>
      <c r="K120" s="549">
        <f>G120+J120-I120</f>
        <v>0</v>
      </c>
      <c r="L120" s="51"/>
      <c r="M120" s="7"/>
      <c r="N120" s="540"/>
      <c r="O120" s="549">
        <f>K120+N120-M120</f>
        <v>0</v>
      </c>
      <c r="P120" s="51"/>
      <c r="Q120" s="7"/>
      <c r="R120" s="540"/>
      <c r="S120" s="549">
        <f>O120+R120-Q120</f>
        <v>0</v>
      </c>
      <c r="T120" s="51"/>
      <c r="U120" s="7"/>
      <c r="V120" s="540"/>
      <c r="W120" s="549">
        <f>S120+V120-U120</f>
        <v>0</v>
      </c>
      <c r="X120" s="51"/>
      <c r="Y120" s="7"/>
      <c r="Z120" s="540"/>
      <c r="AA120" s="549">
        <f>W120+Z120-Y120</f>
        <v>0</v>
      </c>
      <c r="AB120" s="51"/>
      <c r="AC120" s="7"/>
      <c r="AD120" s="540"/>
      <c r="AE120" s="549">
        <f>AA120+AD120-AC120</f>
        <v>0</v>
      </c>
      <c r="AF120" s="51"/>
      <c r="AG120" s="7"/>
      <c r="AH120" s="540"/>
      <c r="AI120" s="549">
        <f>AE120+AH120-AG120</f>
        <v>0</v>
      </c>
      <c r="AJ120" s="51"/>
      <c r="AK120" s="7"/>
      <c r="AL120" s="540"/>
      <c r="AM120" s="549">
        <f>AI120+AL120-AK120</f>
        <v>0</v>
      </c>
      <c r="AN120" s="51"/>
      <c r="AO120" s="7"/>
      <c r="AP120" s="540"/>
      <c r="AQ120" s="549">
        <f>AM120+AP120-AO120</f>
        <v>0</v>
      </c>
      <c r="AR120" s="51"/>
      <c r="AS120" s="7"/>
      <c r="AT120" s="540"/>
      <c r="AU120" s="549">
        <f>AQ120+AT120-AS120</f>
        <v>0</v>
      </c>
      <c r="AV120" s="51"/>
      <c r="AW120" s="7"/>
      <c r="AX120" s="540"/>
      <c r="AY120" s="549">
        <f>AU120+AX120-AW120</f>
        <v>0</v>
      </c>
      <c r="AZ120" s="51"/>
      <c r="BA120" s="53">
        <f t="shared" si="64"/>
        <v>0</v>
      </c>
      <c r="BB120" s="7">
        <f t="shared" si="65"/>
        <v>0</v>
      </c>
      <c r="BC120" s="549">
        <f>D120+BB120-BA120</f>
        <v>0</v>
      </c>
    </row>
    <row r="121" spans="1:55" ht="15">
      <c r="A121" s="537" t="s">
        <v>895</v>
      </c>
      <c r="B121" s="677" t="s">
        <v>742</v>
      </c>
      <c r="C121" s="70"/>
      <c r="D121" s="49"/>
      <c r="E121" s="7"/>
      <c r="F121" s="540"/>
      <c r="G121" s="546">
        <f>D121+F121-E121</f>
        <v>0</v>
      </c>
      <c r="H121" s="51"/>
      <c r="I121" s="7"/>
      <c r="J121" s="540"/>
      <c r="K121" s="549">
        <f>G121+J121-I121</f>
        <v>0</v>
      </c>
      <c r="L121" s="51"/>
      <c r="M121" s="7"/>
      <c r="N121" s="540"/>
      <c r="O121" s="549">
        <f>K121+N121-M121</f>
        <v>0</v>
      </c>
      <c r="P121" s="51"/>
      <c r="Q121" s="7"/>
      <c r="R121" s="540"/>
      <c r="S121" s="549">
        <f>O121+R121-Q121</f>
        <v>0</v>
      </c>
      <c r="T121" s="51"/>
      <c r="U121" s="7"/>
      <c r="V121" s="540"/>
      <c r="W121" s="549">
        <f>S121+V121-U121</f>
        <v>0</v>
      </c>
      <c r="X121" s="51"/>
      <c r="Y121" s="7"/>
      <c r="Z121" s="540"/>
      <c r="AA121" s="549">
        <f>W121+Z121-Y121</f>
        <v>0</v>
      </c>
      <c r="AB121" s="51"/>
      <c r="AC121" s="7"/>
      <c r="AD121" s="540"/>
      <c r="AE121" s="549">
        <f>AA121+AD121-AC121</f>
        <v>0</v>
      </c>
      <c r="AF121" s="51"/>
      <c r="AG121" s="7"/>
      <c r="AH121" s="540"/>
      <c r="AI121" s="549">
        <f>AE121+AH121-AG121</f>
        <v>0</v>
      </c>
      <c r="AJ121" s="51"/>
      <c r="AK121" s="7"/>
      <c r="AL121" s="540"/>
      <c r="AM121" s="549">
        <f>AI121+AL121-AK121</f>
        <v>0</v>
      </c>
      <c r="AN121" s="51"/>
      <c r="AO121" s="7"/>
      <c r="AP121" s="540"/>
      <c r="AQ121" s="549">
        <f>AM121+AP121-AO121</f>
        <v>0</v>
      </c>
      <c r="AR121" s="51"/>
      <c r="AS121" s="7"/>
      <c r="AT121" s="540"/>
      <c r="AU121" s="549">
        <f>AQ121+AT121-AS121</f>
        <v>0</v>
      </c>
      <c r="AV121" s="51"/>
      <c r="AW121" s="7"/>
      <c r="AX121" s="540"/>
      <c r="AY121" s="549">
        <f>AU121+AX121-AW121</f>
        <v>0</v>
      </c>
      <c r="AZ121" s="51"/>
      <c r="BA121" s="53">
        <f t="shared" si="64"/>
        <v>0</v>
      </c>
      <c r="BB121" s="7">
        <f t="shared" si="65"/>
        <v>0</v>
      </c>
      <c r="BC121" s="549">
        <f>D121+BB121-BA121</f>
        <v>0</v>
      </c>
    </row>
    <row r="122" spans="1:55" ht="15">
      <c r="A122" s="537" t="s">
        <v>897</v>
      </c>
      <c r="B122" s="677" t="s">
        <v>750</v>
      </c>
      <c r="C122" s="70"/>
      <c r="D122" s="49"/>
      <c r="E122" s="7"/>
      <c r="F122" s="540"/>
      <c r="G122" s="546">
        <f>D122+F122-E122</f>
        <v>0</v>
      </c>
      <c r="H122" s="51"/>
      <c r="I122" s="7"/>
      <c r="J122" s="540"/>
      <c r="K122" s="549">
        <f>G122+J122-I122</f>
        <v>0</v>
      </c>
      <c r="L122" s="51"/>
      <c r="M122" s="7"/>
      <c r="N122" s="540"/>
      <c r="O122" s="549">
        <f>K122+N122-M122</f>
        <v>0</v>
      </c>
      <c r="P122" s="51"/>
      <c r="Q122" s="7"/>
      <c r="R122" s="540"/>
      <c r="S122" s="549">
        <f>O122+R122-Q122</f>
        <v>0</v>
      </c>
      <c r="T122" s="51"/>
      <c r="U122" s="7"/>
      <c r="V122" s="540"/>
      <c r="W122" s="549">
        <f>S122+V122-U122</f>
        <v>0</v>
      </c>
      <c r="X122" s="51"/>
      <c r="Y122" s="7"/>
      <c r="Z122" s="540"/>
      <c r="AA122" s="549">
        <f>W122+Z122-Y122</f>
        <v>0</v>
      </c>
      <c r="AB122" s="51"/>
      <c r="AC122" s="7"/>
      <c r="AD122" s="540"/>
      <c r="AE122" s="549">
        <f>AA122+AD122-AC122</f>
        <v>0</v>
      </c>
      <c r="AF122" s="51"/>
      <c r="AG122" s="7"/>
      <c r="AH122" s="540"/>
      <c r="AI122" s="549">
        <f>AE122+AH122-AG122</f>
        <v>0</v>
      </c>
      <c r="AJ122" s="51"/>
      <c r="AK122" s="7"/>
      <c r="AL122" s="540"/>
      <c r="AM122" s="549">
        <f>AI122+AL122-AK122</f>
        <v>0</v>
      </c>
      <c r="AN122" s="51"/>
      <c r="AO122" s="7"/>
      <c r="AP122" s="540"/>
      <c r="AQ122" s="549">
        <f>AM122+AP122-AO122</f>
        <v>0</v>
      </c>
      <c r="AR122" s="51"/>
      <c r="AS122" s="7"/>
      <c r="AT122" s="540"/>
      <c r="AU122" s="549">
        <f>AQ122+AT122-AS122</f>
        <v>0</v>
      </c>
      <c r="AV122" s="51"/>
      <c r="AW122" s="7"/>
      <c r="AX122" s="540"/>
      <c r="AY122" s="549">
        <f>AU122+AX122-AW122</f>
        <v>0</v>
      </c>
      <c r="AZ122" s="51"/>
      <c r="BA122" s="53">
        <f t="shared" si="64"/>
        <v>0</v>
      </c>
      <c r="BB122" s="7">
        <f t="shared" si="65"/>
        <v>0</v>
      </c>
      <c r="BC122" s="549">
        <f>D122+BB122-BA122</f>
        <v>0</v>
      </c>
    </row>
    <row r="123" spans="1:55" ht="15">
      <c r="A123" s="537" t="s">
        <v>899</v>
      </c>
      <c r="B123" s="551" t="s">
        <v>754</v>
      </c>
      <c r="C123" s="69"/>
      <c r="D123" s="49"/>
      <c r="E123" s="7">
        <v>70000</v>
      </c>
      <c r="F123" s="540"/>
      <c r="G123" s="50">
        <f aca="true" t="shared" si="66" ref="G123:G174">D123+E123-F123</f>
        <v>70000</v>
      </c>
      <c r="H123" s="51"/>
      <c r="I123" s="7"/>
      <c r="J123" s="540"/>
      <c r="K123" s="65">
        <f aca="true" t="shared" si="67" ref="K123:K174">G123+I123-J123</f>
        <v>70000</v>
      </c>
      <c r="L123" s="51"/>
      <c r="M123" s="7"/>
      <c r="N123" s="540"/>
      <c r="O123" s="65">
        <f aca="true" t="shared" si="68" ref="O123:O174">K123+M123-N123</f>
        <v>70000</v>
      </c>
      <c r="P123" s="51"/>
      <c r="Q123" s="7"/>
      <c r="R123" s="540"/>
      <c r="S123" s="65">
        <f aca="true" t="shared" si="69" ref="S123:S174">O123+Q123-R123</f>
        <v>70000</v>
      </c>
      <c r="T123" s="51"/>
      <c r="U123" s="7"/>
      <c r="V123" s="540"/>
      <c r="W123" s="65">
        <f aca="true" t="shared" si="70" ref="W123:W174">S123+U123-V123</f>
        <v>70000</v>
      </c>
      <c r="X123" s="51"/>
      <c r="Y123" s="7"/>
      <c r="Z123" s="540"/>
      <c r="AA123" s="65">
        <f aca="true" t="shared" si="71" ref="AA123:AA174">W123+Y123-Z123</f>
        <v>70000</v>
      </c>
      <c r="AB123" s="51"/>
      <c r="AC123" s="7"/>
      <c r="AD123" s="540"/>
      <c r="AE123" s="65">
        <f aca="true" t="shared" si="72" ref="AE123:AE174">AA123+AC123-AD123</f>
        <v>70000</v>
      </c>
      <c r="AF123" s="51"/>
      <c r="AG123" s="7"/>
      <c r="AH123" s="540"/>
      <c r="AI123" s="65">
        <f aca="true" t="shared" si="73" ref="AI123:AI174">AE123+AG123-AH123</f>
        <v>70000</v>
      </c>
      <c r="AJ123" s="51"/>
      <c r="AK123" s="7"/>
      <c r="AL123" s="540"/>
      <c r="AM123" s="65">
        <f aca="true" t="shared" si="74" ref="AM123:AM174">AI123+AK123-AL123</f>
        <v>70000</v>
      </c>
      <c r="AN123" s="51"/>
      <c r="AO123" s="7"/>
      <c r="AP123" s="540"/>
      <c r="AQ123" s="65">
        <f aca="true" t="shared" si="75" ref="AQ123:AQ174">AM123+AO123-AP123</f>
        <v>70000</v>
      </c>
      <c r="AR123" s="51"/>
      <c r="AS123" s="7"/>
      <c r="AT123" s="540"/>
      <c r="AU123" s="65">
        <f aca="true" t="shared" si="76" ref="AU123:AU174">AQ123+AS123-AT123</f>
        <v>70000</v>
      </c>
      <c r="AV123" s="51"/>
      <c r="AW123" s="7"/>
      <c r="AX123" s="540"/>
      <c r="AY123" s="65">
        <f aca="true" t="shared" si="77" ref="AY123:AY174">AU123+AW123-AX123</f>
        <v>70000</v>
      </c>
      <c r="AZ123" s="51"/>
      <c r="BA123" s="53">
        <f t="shared" si="64"/>
        <v>70000</v>
      </c>
      <c r="BB123" s="7">
        <f t="shared" si="65"/>
        <v>0</v>
      </c>
      <c r="BC123" s="65">
        <f aca="true" t="shared" si="78" ref="BC123:BC174">D123+BA123-BB123</f>
        <v>70000</v>
      </c>
    </row>
    <row r="124" spans="1:55" ht="14.25">
      <c r="A124" s="537" t="s">
        <v>901</v>
      </c>
      <c r="B124" s="551" t="s">
        <v>756</v>
      </c>
      <c r="C124" s="68"/>
      <c r="D124" s="49"/>
      <c r="E124" s="7"/>
      <c r="F124" s="540"/>
      <c r="G124" s="50">
        <f t="shared" si="66"/>
        <v>0</v>
      </c>
      <c r="H124" s="51"/>
      <c r="I124" s="7"/>
      <c r="J124" s="540"/>
      <c r="K124" s="65">
        <f t="shared" si="67"/>
        <v>0</v>
      </c>
      <c r="L124" s="51"/>
      <c r="M124" s="7"/>
      <c r="N124" s="540"/>
      <c r="O124" s="65">
        <f t="shared" si="68"/>
        <v>0</v>
      </c>
      <c r="P124" s="51"/>
      <c r="Q124" s="7"/>
      <c r="R124" s="540"/>
      <c r="S124" s="65">
        <f t="shared" si="69"/>
        <v>0</v>
      </c>
      <c r="T124" s="51"/>
      <c r="U124" s="7"/>
      <c r="V124" s="540"/>
      <c r="W124" s="65">
        <f t="shared" si="70"/>
        <v>0</v>
      </c>
      <c r="X124" s="51"/>
      <c r="Y124" s="7"/>
      <c r="Z124" s="540"/>
      <c r="AA124" s="65">
        <f t="shared" si="71"/>
        <v>0</v>
      </c>
      <c r="AB124" s="51"/>
      <c r="AC124" s="7"/>
      <c r="AD124" s="540"/>
      <c r="AE124" s="65">
        <f t="shared" si="72"/>
        <v>0</v>
      </c>
      <c r="AF124" s="51"/>
      <c r="AG124" s="7"/>
      <c r="AH124" s="540"/>
      <c r="AI124" s="65">
        <f t="shared" si="73"/>
        <v>0</v>
      </c>
      <c r="AJ124" s="51"/>
      <c r="AK124" s="7"/>
      <c r="AL124" s="540"/>
      <c r="AM124" s="65">
        <f t="shared" si="74"/>
        <v>0</v>
      </c>
      <c r="AN124" s="51"/>
      <c r="AO124" s="7"/>
      <c r="AP124" s="540"/>
      <c r="AQ124" s="65">
        <f t="shared" si="75"/>
        <v>0</v>
      </c>
      <c r="AR124" s="51"/>
      <c r="AS124" s="7"/>
      <c r="AT124" s="540"/>
      <c r="AU124" s="65">
        <f t="shared" si="76"/>
        <v>0</v>
      </c>
      <c r="AV124" s="51"/>
      <c r="AW124" s="7"/>
      <c r="AX124" s="540"/>
      <c r="AY124" s="65">
        <f t="shared" si="77"/>
        <v>0</v>
      </c>
      <c r="AZ124" s="51"/>
      <c r="BA124" s="53">
        <f t="shared" si="64"/>
        <v>0</v>
      </c>
      <c r="BB124" s="7">
        <f t="shared" si="65"/>
        <v>0</v>
      </c>
      <c r="BC124" s="65">
        <f t="shared" si="78"/>
        <v>0</v>
      </c>
    </row>
    <row r="125" spans="1:55" ht="14.25">
      <c r="A125" s="537" t="s">
        <v>903</v>
      </c>
      <c r="B125" s="551" t="s">
        <v>55</v>
      </c>
      <c r="C125" s="68"/>
      <c r="D125" s="49"/>
      <c r="E125" s="7"/>
      <c r="F125" s="540"/>
      <c r="G125" s="50">
        <f t="shared" si="66"/>
        <v>0</v>
      </c>
      <c r="H125" s="51"/>
      <c r="I125" s="7"/>
      <c r="J125" s="540"/>
      <c r="K125" s="65">
        <f t="shared" si="67"/>
        <v>0</v>
      </c>
      <c r="L125" s="51"/>
      <c r="M125" s="7"/>
      <c r="N125" s="540"/>
      <c r="O125" s="65">
        <f t="shared" si="68"/>
        <v>0</v>
      </c>
      <c r="P125" s="51"/>
      <c r="Q125" s="7"/>
      <c r="R125" s="540"/>
      <c r="S125" s="65">
        <f t="shared" si="69"/>
        <v>0</v>
      </c>
      <c r="T125" s="51"/>
      <c r="U125" s="7"/>
      <c r="V125" s="540"/>
      <c r="W125" s="65">
        <f t="shared" si="70"/>
        <v>0</v>
      </c>
      <c r="X125" s="51"/>
      <c r="Y125" s="7"/>
      <c r="Z125" s="540"/>
      <c r="AA125" s="65">
        <f t="shared" si="71"/>
        <v>0</v>
      </c>
      <c r="AB125" s="51"/>
      <c r="AC125" s="7"/>
      <c r="AD125" s="540"/>
      <c r="AE125" s="65">
        <f t="shared" si="72"/>
        <v>0</v>
      </c>
      <c r="AF125" s="51"/>
      <c r="AG125" s="7"/>
      <c r="AH125" s="540"/>
      <c r="AI125" s="65">
        <f t="shared" si="73"/>
        <v>0</v>
      </c>
      <c r="AJ125" s="51"/>
      <c r="AK125" s="7"/>
      <c r="AL125" s="540"/>
      <c r="AM125" s="65">
        <f t="shared" si="74"/>
        <v>0</v>
      </c>
      <c r="AN125" s="51"/>
      <c r="AO125" s="7"/>
      <c r="AP125" s="540"/>
      <c r="AQ125" s="65">
        <f t="shared" si="75"/>
        <v>0</v>
      </c>
      <c r="AR125" s="51"/>
      <c r="AS125" s="7"/>
      <c r="AT125" s="540"/>
      <c r="AU125" s="65">
        <f t="shared" si="76"/>
        <v>0</v>
      </c>
      <c r="AV125" s="51"/>
      <c r="AW125" s="7"/>
      <c r="AX125" s="540"/>
      <c r="AY125" s="65">
        <f t="shared" si="77"/>
        <v>0</v>
      </c>
      <c r="AZ125" s="51"/>
      <c r="BA125" s="53">
        <f t="shared" si="64"/>
        <v>0</v>
      </c>
      <c r="BB125" s="7">
        <f t="shared" si="65"/>
        <v>0</v>
      </c>
      <c r="BC125" s="65">
        <f t="shared" si="78"/>
        <v>0</v>
      </c>
    </row>
    <row r="126" spans="1:55" ht="15">
      <c r="A126" s="543" t="s">
        <v>905</v>
      </c>
      <c r="B126" s="681" t="s">
        <v>749</v>
      </c>
      <c r="C126" s="69"/>
      <c r="D126" s="61">
        <f>SUM(D127:D136)</f>
        <v>0</v>
      </c>
      <c r="E126" s="62">
        <f>SUM(E127:E136)</f>
        <v>600</v>
      </c>
      <c r="F126" s="62">
        <f>SUM(F127:F136)</f>
        <v>0</v>
      </c>
      <c r="G126" s="63">
        <f>SUM(G127:G136)</f>
        <v>600</v>
      </c>
      <c r="H126" s="51"/>
      <c r="I126" s="62">
        <f>SUM(I127:I136)</f>
        <v>0</v>
      </c>
      <c r="J126" s="62">
        <f>SUM(J127:J136)</f>
        <v>0</v>
      </c>
      <c r="K126" s="63">
        <f>SUM(K127:K136)</f>
        <v>600</v>
      </c>
      <c r="L126" s="51"/>
      <c r="M126" s="62">
        <f>SUM(M127:M136)</f>
        <v>0</v>
      </c>
      <c r="N126" s="62">
        <f>SUM(N127:N136)</f>
        <v>0</v>
      </c>
      <c r="O126" s="63">
        <f>SUM(O127:O136)</f>
        <v>600</v>
      </c>
      <c r="P126" s="51"/>
      <c r="Q126" s="62">
        <f>SUM(Q127:Q136)</f>
        <v>0</v>
      </c>
      <c r="R126" s="62">
        <f>SUM(R127:R136)</f>
        <v>0</v>
      </c>
      <c r="S126" s="63">
        <f>SUM(S127:S136)</f>
        <v>600</v>
      </c>
      <c r="T126" s="51"/>
      <c r="U126" s="62">
        <f>SUM(U127:U136)</f>
        <v>0</v>
      </c>
      <c r="V126" s="62">
        <f>SUM(V127:V136)</f>
        <v>0</v>
      </c>
      <c r="W126" s="63">
        <f>SUM(W127:W136)</f>
        <v>600</v>
      </c>
      <c r="X126" s="51"/>
      <c r="Y126" s="62">
        <f>SUM(Y127:Y136)</f>
        <v>0</v>
      </c>
      <c r="Z126" s="62">
        <f>SUM(Z127:Z136)</f>
        <v>0</v>
      </c>
      <c r="AA126" s="63">
        <f>SUM(AA127:AA136)</f>
        <v>600</v>
      </c>
      <c r="AB126" s="51"/>
      <c r="AC126" s="62">
        <f>SUM(AC127:AC136)</f>
        <v>0</v>
      </c>
      <c r="AD126" s="62">
        <f>SUM(AD127:AD136)</f>
        <v>0</v>
      </c>
      <c r="AE126" s="63">
        <f>SUM(AE127:AE136)</f>
        <v>600</v>
      </c>
      <c r="AF126" s="51"/>
      <c r="AG126" s="62">
        <f>SUM(AG127:AG136)</f>
        <v>0</v>
      </c>
      <c r="AH126" s="62">
        <f>SUM(AH127:AH136)</f>
        <v>0</v>
      </c>
      <c r="AI126" s="63">
        <f>SUM(AI127:AI136)</f>
        <v>600</v>
      </c>
      <c r="AJ126" s="51"/>
      <c r="AK126" s="62">
        <f>SUM(AK127:AK136)</f>
        <v>0</v>
      </c>
      <c r="AL126" s="62">
        <f>SUM(AL127:AL136)</f>
        <v>0</v>
      </c>
      <c r="AM126" s="63">
        <f>SUM(AM127:AM136)</f>
        <v>600</v>
      </c>
      <c r="AN126" s="51"/>
      <c r="AO126" s="62">
        <f>SUM(AO127:AO136)</f>
        <v>0</v>
      </c>
      <c r="AP126" s="62">
        <f>SUM(AP127:AP136)</f>
        <v>0</v>
      </c>
      <c r="AQ126" s="63">
        <f>SUM(AQ127:AQ136)</f>
        <v>600</v>
      </c>
      <c r="AR126" s="51"/>
      <c r="AS126" s="62">
        <f>SUM(AS127:AS136)</f>
        <v>0</v>
      </c>
      <c r="AT126" s="62">
        <f>SUM(AT127:AT136)</f>
        <v>0</v>
      </c>
      <c r="AU126" s="63">
        <f>SUM(AU127:AU136)</f>
        <v>600</v>
      </c>
      <c r="AV126" s="51"/>
      <c r="AW126" s="62">
        <f>SUM(AW127:AW136)</f>
        <v>0</v>
      </c>
      <c r="AX126" s="62">
        <f>SUM(AX127:AX136)</f>
        <v>0</v>
      </c>
      <c r="AY126" s="63">
        <f>SUM(AY127:AY136)</f>
        <v>600</v>
      </c>
      <c r="AZ126" s="51"/>
      <c r="BA126" s="545">
        <f>SUM(BA127:BA136)</f>
        <v>600</v>
      </c>
      <c r="BB126" s="62">
        <f>SUM(BB127:BB136)</f>
        <v>0</v>
      </c>
      <c r="BC126" s="63">
        <f>SUM(BC127:BC136)</f>
        <v>600</v>
      </c>
    </row>
    <row r="127" spans="1:55" ht="15">
      <c r="A127" s="537" t="s">
        <v>236</v>
      </c>
      <c r="B127" s="551" t="s">
        <v>354</v>
      </c>
      <c r="C127" s="69"/>
      <c r="D127" s="49"/>
      <c r="E127" s="7"/>
      <c r="F127" s="540"/>
      <c r="G127" s="50">
        <f t="shared" si="66"/>
        <v>0</v>
      </c>
      <c r="H127" s="51"/>
      <c r="I127" s="7"/>
      <c r="J127" s="540"/>
      <c r="K127" s="65">
        <f t="shared" si="67"/>
        <v>0</v>
      </c>
      <c r="L127" s="51"/>
      <c r="M127" s="7"/>
      <c r="N127" s="540"/>
      <c r="O127" s="65">
        <f t="shared" si="68"/>
        <v>0</v>
      </c>
      <c r="P127" s="51"/>
      <c r="Q127" s="7"/>
      <c r="R127" s="540"/>
      <c r="S127" s="65">
        <f t="shared" si="69"/>
        <v>0</v>
      </c>
      <c r="T127" s="51"/>
      <c r="U127" s="7"/>
      <c r="V127" s="540"/>
      <c r="W127" s="65">
        <f t="shared" si="70"/>
        <v>0</v>
      </c>
      <c r="X127" s="51"/>
      <c r="Y127" s="7"/>
      <c r="Z127" s="540"/>
      <c r="AA127" s="65">
        <f t="shared" si="71"/>
        <v>0</v>
      </c>
      <c r="AB127" s="51"/>
      <c r="AC127" s="7"/>
      <c r="AD127" s="540"/>
      <c r="AE127" s="65">
        <f t="shared" si="72"/>
        <v>0</v>
      </c>
      <c r="AF127" s="51"/>
      <c r="AG127" s="7"/>
      <c r="AH127" s="540"/>
      <c r="AI127" s="65">
        <f t="shared" si="73"/>
        <v>0</v>
      </c>
      <c r="AJ127" s="51"/>
      <c r="AK127" s="7"/>
      <c r="AL127" s="540"/>
      <c r="AM127" s="65">
        <f t="shared" si="74"/>
        <v>0</v>
      </c>
      <c r="AN127" s="51"/>
      <c r="AO127" s="7"/>
      <c r="AP127" s="540"/>
      <c r="AQ127" s="65">
        <f t="shared" si="75"/>
        <v>0</v>
      </c>
      <c r="AR127" s="51"/>
      <c r="AS127" s="7"/>
      <c r="AT127" s="540"/>
      <c r="AU127" s="65">
        <f t="shared" si="76"/>
        <v>0</v>
      </c>
      <c r="AV127" s="51"/>
      <c r="AW127" s="7"/>
      <c r="AX127" s="540"/>
      <c r="AY127" s="65">
        <f t="shared" si="77"/>
        <v>0</v>
      </c>
      <c r="AZ127" s="51"/>
      <c r="BA127" s="53">
        <f t="shared" si="64"/>
        <v>0</v>
      </c>
      <c r="BB127" s="7">
        <f t="shared" si="65"/>
        <v>0</v>
      </c>
      <c r="BC127" s="65">
        <f t="shared" si="78"/>
        <v>0</v>
      </c>
    </row>
    <row r="128" spans="1:55" ht="15">
      <c r="A128" s="537" t="s">
        <v>237</v>
      </c>
      <c r="B128" s="551" t="s">
        <v>355</v>
      </c>
      <c r="C128" s="69"/>
      <c r="D128" s="49"/>
      <c r="E128" s="7">
        <v>600</v>
      </c>
      <c r="F128" s="540"/>
      <c r="G128" s="50">
        <f t="shared" si="66"/>
        <v>600</v>
      </c>
      <c r="H128" s="51"/>
      <c r="I128" s="7"/>
      <c r="J128" s="540"/>
      <c r="K128" s="65">
        <f t="shared" si="67"/>
        <v>600</v>
      </c>
      <c r="L128" s="51"/>
      <c r="M128" s="7"/>
      <c r="N128" s="540"/>
      <c r="O128" s="65">
        <f t="shared" si="68"/>
        <v>600</v>
      </c>
      <c r="P128" s="51"/>
      <c r="Q128" s="7"/>
      <c r="R128" s="540"/>
      <c r="S128" s="65">
        <f t="shared" si="69"/>
        <v>600</v>
      </c>
      <c r="T128" s="51"/>
      <c r="U128" s="7"/>
      <c r="V128" s="540"/>
      <c r="W128" s="65">
        <f t="shared" si="70"/>
        <v>600</v>
      </c>
      <c r="X128" s="51"/>
      <c r="Y128" s="7"/>
      <c r="Z128" s="540"/>
      <c r="AA128" s="65">
        <f t="shared" si="71"/>
        <v>600</v>
      </c>
      <c r="AB128" s="51"/>
      <c r="AC128" s="7"/>
      <c r="AD128" s="540"/>
      <c r="AE128" s="65">
        <f t="shared" si="72"/>
        <v>600</v>
      </c>
      <c r="AF128" s="51"/>
      <c r="AG128" s="7"/>
      <c r="AH128" s="540"/>
      <c r="AI128" s="65">
        <f t="shared" si="73"/>
        <v>600</v>
      </c>
      <c r="AJ128" s="51"/>
      <c r="AK128" s="7"/>
      <c r="AL128" s="540"/>
      <c r="AM128" s="65">
        <f t="shared" si="74"/>
        <v>600</v>
      </c>
      <c r="AN128" s="51"/>
      <c r="AO128" s="7"/>
      <c r="AP128" s="540"/>
      <c r="AQ128" s="65">
        <f t="shared" si="75"/>
        <v>600</v>
      </c>
      <c r="AR128" s="51"/>
      <c r="AS128" s="7"/>
      <c r="AT128" s="540"/>
      <c r="AU128" s="65">
        <f t="shared" si="76"/>
        <v>600</v>
      </c>
      <c r="AV128" s="51"/>
      <c r="AW128" s="7"/>
      <c r="AX128" s="540"/>
      <c r="AY128" s="65">
        <f t="shared" si="77"/>
        <v>600</v>
      </c>
      <c r="AZ128" s="51"/>
      <c r="BA128" s="53">
        <f t="shared" si="64"/>
        <v>600</v>
      </c>
      <c r="BB128" s="7">
        <f t="shared" si="65"/>
        <v>0</v>
      </c>
      <c r="BC128" s="65">
        <f t="shared" si="78"/>
        <v>600</v>
      </c>
    </row>
    <row r="129" spans="1:55" ht="14.25">
      <c r="A129" s="537" t="s">
        <v>238</v>
      </c>
      <c r="B129" s="551" t="s">
        <v>356</v>
      </c>
      <c r="C129" s="68"/>
      <c r="D129" s="49"/>
      <c r="E129" s="7"/>
      <c r="F129" s="540"/>
      <c r="G129" s="50">
        <f t="shared" si="66"/>
        <v>0</v>
      </c>
      <c r="H129" s="51"/>
      <c r="I129" s="7"/>
      <c r="J129" s="540"/>
      <c r="K129" s="65">
        <f t="shared" si="67"/>
        <v>0</v>
      </c>
      <c r="L129" s="51"/>
      <c r="M129" s="7"/>
      <c r="N129" s="540"/>
      <c r="O129" s="65">
        <f t="shared" si="68"/>
        <v>0</v>
      </c>
      <c r="P129" s="51"/>
      <c r="Q129" s="7"/>
      <c r="R129" s="540"/>
      <c r="S129" s="65">
        <f t="shared" si="69"/>
        <v>0</v>
      </c>
      <c r="T129" s="51"/>
      <c r="U129" s="7"/>
      <c r="V129" s="540"/>
      <c r="W129" s="65">
        <f t="shared" si="70"/>
        <v>0</v>
      </c>
      <c r="X129" s="51"/>
      <c r="Y129" s="7"/>
      <c r="Z129" s="540"/>
      <c r="AA129" s="65">
        <f t="shared" si="71"/>
        <v>0</v>
      </c>
      <c r="AB129" s="51"/>
      <c r="AC129" s="7"/>
      <c r="AD129" s="540"/>
      <c r="AE129" s="65">
        <f t="shared" si="72"/>
        <v>0</v>
      </c>
      <c r="AF129" s="51"/>
      <c r="AG129" s="7"/>
      <c r="AH129" s="540"/>
      <c r="AI129" s="65">
        <f t="shared" si="73"/>
        <v>0</v>
      </c>
      <c r="AJ129" s="51"/>
      <c r="AK129" s="7"/>
      <c r="AL129" s="540"/>
      <c r="AM129" s="65">
        <f t="shared" si="74"/>
        <v>0</v>
      </c>
      <c r="AN129" s="51"/>
      <c r="AO129" s="7"/>
      <c r="AP129" s="540"/>
      <c r="AQ129" s="65">
        <f t="shared" si="75"/>
        <v>0</v>
      </c>
      <c r="AR129" s="51"/>
      <c r="AS129" s="7"/>
      <c r="AT129" s="540"/>
      <c r="AU129" s="65">
        <f t="shared" si="76"/>
        <v>0</v>
      </c>
      <c r="AV129" s="51"/>
      <c r="AW129" s="7"/>
      <c r="AX129" s="540"/>
      <c r="AY129" s="65">
        <f t="shared" si="77"/>
        <v>0</v>
      </c>
      <c r="AZ129" s="51"/>
      <c r="BA129" s="53">
        <f t="shared" si="64"/>
        <v>0</v>
      </c>
      <c r="BB129" s="7">
        <f t="shared" si="65"/>
        <v>0</v>
      </c>
      <c r="BC129" s="65">
        <f t="shared" si="78"/>
        <v>0</v>
      </c>
    </row>
    <row r="130" spans="1:55" ht="14.25">
      <c r="A130" s="537" t="s">
        <v>239</v>
      </c>
      <c r="B130" s="551" t="s">
        <v>357</v>
      </c>
      <c r="C130" s="68"/>
      <c r="D130" s="49"/>
      <c r="E130" s="7"/>
      <c r="F130" s="540"/>
      <c r="G130" s="50">
        <f t="shared" si="66"/>
        <v>0</v>
      </c>
      <c r="H130" s="51"/>
      <c r="I130" s="7"/>
      <c r="J130" s="540"/>
      <c r="K130" s="65">
        <f t="shared" si="67"/>
        <v>0</v>
      </c>
      <c r="L130" s="51"/>
      <c r="M130" s="7"/>
      <c r="N130" s="540"/>
      <c r="O130" s="65">
        <f t="shared" si="68"/>
        <v>0</v>
      </c>
      <c r="P130" s="51"/>
      <c r="Q130" s="7"/>
      <c r="R130" s="540"/>
      <c r="S130" s="65">
        <f t="shared" si="69"/>
        <v>0</v>
      </c>
      <c r="T130" s="51"/>
      <c r="U130" s="7"/>
      <c r="V130" s="540"/>
      <c r="W130" s="65">
        <f t="shared" si="70"/>
        <v>0</v>
      </c>
      <c r="X130" s="51"/>
      <c r="Y130" s="7"/>
      <c r="Z130" s="540"/>
      <c r="AA130" s="65">
        <f t="shared" si="71"/>
        <v>0</v>
      </c>
      <c r="AB130" s="51"/>
      <c r="AC130" s="7"/>
      <c r="AD130" s="540"/>
      <c r="AE130" s="65">
        <f t="shared" si="72"/>
        <v>0</v>
      </c>
      <c r="AF130" s="51"/>
      <c r="AG130" s="7"/>
      <c r="AH130" s="540"/>
      <c r="AI130" s="65">
        <f t="shared" si="73"/>
        <v>0</v>
      </c>
      <c r="AJ130" s="51"/>
      <c r="AK130" s="7"/>
      <c r="AL130" s="540"/>
      <c r="AM130" s="65">
        <f t="shared" si="74"/>
        <v>0</v>
      </c>
      <c r="AN130" s="51"/>
      <c r="AO130" s="7"/>
      <c r="AP130" s="540"/>
      <c r="AQ130" s="65">
        <f t="shared" si="75"/>
        <v>0</v>
      </c>
      <c r="AR130" s="51"/>
      <c r="AS130" s="7"/>
      <c r="AT130" s="540"/>
      <c r="AU130" s="65">
        <f t="shared" si="76"/>
        <v>0</v>
      </c>
      <c r="AV130" s="51"/>
      <c r="AW130" s="7"/>
      <c r="AX130" s="540"/>
      <c r="AY130" s="65">
        <f t="shared" si="77"/>
        <v>0</v>
      </c>
      <c r="AZ130" s="51"/>
      <c r="BA130" s="53">
        <f t="shared" si="64"/>
        <v>0</v>
      </c>
      <c r="BB130" s="7">
        <f t="shared" si="65"/>
        <v>0</v>
      </c>
      <c r="BC130" s="65">
        <f t="shared" si="78"/>
        <v>0</v>
      </c>
    </row>
    <row r="131" spans="1:55" ht="14.25">
      <c r="A131" s="537" t="s">
        <v>240</v>
      </c>
      <c r="B131" s="551" t="s">
        <v>360</v>
      </c>
      <c r="C131" s="68"/>
      <c r="D131" s="49"/>
      <c r="E131" s="7"/>
      <c r="F131" s="540"/>
      <c r="G131" s="50">
        <f t="shared" si="66"/>
        <v>0</v>
      </c>
      <c r="H131" s="51"/>
      <c r="I131" s="7"/>
      <c r="J131" s="540"/>
      <c r="K131" s="65">
        <f t="shared" si="67"/>
        <v>0</v>
      </c>
      <c r="L131" s="51"/>
      <c r="M131" s="7"/>
      <c r="N131" s="540"/>
      <c r="O131" s="65">
        <f t="shared" si="68"/>
        <v>0</v>
      </c>
      <c r="P131" s="51"/>
      <c r="Q131" s="7"/>
      <c r="R131" s="540"/>
      <c r="S131" s="65">
        <f t="shared" si="69"/>
        <v>0</v>
      </c>
      <c r="T131" s="51"/>
      <c r="U131" s="7"/>
      <c r="V131" s="540"/>
      <c r="W131" s="65">
        <f t="shared" si="70"/>
        <v>0</v>
      </c>
      <c r="X131" s="51"/>
      <c r="Y131" s="7"/>
      <c r="Z131" s="540"/>
      <c r="AA131" s="65">
        <f t="shared" si="71"/>
        <v>0</v>
      </c>
      <c r="AB131" s="51"/>
      <c r="AC131" s="7"/>
      <c r="AD131" s="540"/>
      <c r="AE131" s="65">
        <f t="shared" si="72"/>
        <v>0</v>
      </c>
      <c r="AF131" s="51"/>
      <c r="AG131" s="7"/>
      <c r="AH131" s="540"/>
      <c r="AI131" s="65">
        <f t="shared" si="73"/>
        <v>0</v>
      </c>
      <c r="AJ131" s="51"/>
      <c r="AK131" s="7"/>
      <c r="AL131" s="540"/>
      <c r="AM131" s="65">
        <f t="shared" si="74"/>
        <v>0</v>
      </c>
      <c r="AN131" s="51"/>
      <c r="AO131" s="7"/>
      <c r="AP131" s="540"/>
      <c r="AQ131" s="65">
        <f t="shared" si="75"/>
        <v>0</v>
      </c>
      <c r="AR131" s="51"/>
      <c r="AS131" s="7"/>
      <c r="AT131" s="540"/>
      <c r="AU131" s="65">
        <f t="shared" si="76"/>
        <v>0</v>
      </c>
      <c r="AV131" s="51"/>
      <c r="AW131" s="7"/>
      <c r="AX131" s="540"/>
      <c r="AY131" s="65">
        <f t="shared" si="77"/>
        <v>0</v>
      </c>
      <c r="AZ131" s="51"/>
      <c r="BA131" s="53">
        <f t="shared" si="64"/>
        <v>0</v>
      </c>
      <c r="BB131" s="7">
        <f t="shared" si="65"/>
        <v>0</v>
      </c>
      <c r="BC131" s="65">
        <f t="shared" si="78"/>
        <v>0</v>
      </c>
    </row>
    <row r="132" spans="1:55" ht="14.25">
      <c r="A132" s="537" t="s">
        <v>241</v>
      </c>
      <c r="B132" s="551" t="s">
        <v>621</v>
      </c>
      <c r="C132" s="68"/>
      <c r="D132" s="49"/>
      <c r="E132" s="7"/>
      <c r="F132" s="540"/>
      <c r="G132" s="50">
        <f t="shared" si="66"/>
        <v>0</v>
      </c>
      <c r="H132" s="51"/>
      <c r="I132" s="7"/>
      <c r="J132" s="540"/>
      <c r="K132" s="65">
        <f t="shared" si="67"/>
        <v>0</v>
      </c>
      <c r="L132" s="51"/>
      <c r="M132" s="7"/>
      <c r="N132" s="540"/>
      <c r="O132" s="65">
        <f t="shared" si="68"/>
        <v>0</v>
      </c>
      <c r="P132" s="51"/>
      <c r="Q132" s="7"/>
      <c r="R132" s="540"/>
      <c r="S132" s="65">
        <f t="shared" si="69"/>
        <v>0</v>
      </c>
      <c r="T132" s="51"/>
      <c r="U132" s="7"/>
      <c r="V132" s="540"/>
      <c r="W132" s="65">
        <f t="shared" si="70"/>
        <v>0</v>
      </c>
      <c r="X132" s="51"/>
      <c r="Y132" s="7"/>
      <c r="Z132" s="540"/>
      <c r="AA132" s="65">
        <f t="shared" si="71"/>
        <v>0</v>
      </c>
      <c r="AB132" s="51"/>
      <c r="AC132" s="7"/>
      <c r="AD132" s="540"/>
      <c r="AE132" s="65">
        <f t="shared" si="72"/>
        <v>0</v>
      </c>
      <c r="AF132" s="51"/>
      <c r="AG132" s="7"/>
      <c r="AH132" s="540"/>
      <c r="AI132" s="65">
        <f t="shared" si="73"/>
        <v>0</v>
      </c>
      <c r="AJ132" s="51"/>
      <c r="AK132" s="7"/>
      <c r="AL132" s="540"/>
      <c r="AM132" s="65">
        <f t="shared" si="74"/>
        <v>0</v>
      </c>
      <c r="AN132" s="51"/>
      <c r="AO132" s="7"/>
      <c r="AP132" s="540"/>
      <c r="AQ132" s="65">
        <f t="shared" si="75"/>
        <v>0</v>
      </c>
      <c r="AR132" s="51"/>
      <c r="AS132" s="7"/>
      <c r="AT132" s="540"/>
      <c r="AU132" s="65">
        <f t="shared" si="76"/>
        <v>0</v>
      </c>
      <c r="AV132" s="51"/>
      <c r="AW132" s="7"/>
      <c r="AX132" s="540"/>
      <c r="AY132" s="65">
        <f t="shared" si="77"/>
        <v>0</v>
      </c>
      <c r="AZ132" s="51"/>
      <c r="BA132" s="53">
        <f t="shared" si="64"/>
        <v>0</v>
      </c>
      <c r="BB132" s="7">
        <f t="shared" si="65"/>
        <v>0</v>
      </c>
      <c r="BC132" s="65">
        <f t="shared" si="78"/>
        <v>0</v>
      </c>
    </row>
    <row r="133" spans="1:55" ht="14.25">
      <c r="A133" s="537" t="s">
        <v>242</v>
      </c>
      <c r="B133" s="551" t="s">
        <v>713</v>
      </c>
      <c r="C133" s="68"/>
      <c r="D133" s="49"/>
      <c r="E133" s="7"/>
      <c r="F133" s="540"/>
      <c r="G133" s="50">
        <f t="shared" si="66"/>
        <v>0</v>
      </c>
      <c r="H133" s="51"/>
      <c r="I133" s="7"/>
      <c r="J133" s="540"/>
      <c r="K133" s="65">
        <f t="shared" si="67"/>
        <v>0</v>
      </c>
      <c r="L133" s="51"/>
      <c r="M133" s="7"/>
      <c r="N133" s="540"/>
      <c r="O133" s="65">
        <f t="shared" si="68"/>
        <v>0</v>
      </c>
      <c r="P133" s="51"/>
      <c r="Q133" s="7"/>
      <c r="R133" s="540"/>
      <c r="S133" s="65">
        <f t="shared" si="69"/>
        <v>0</v>
      </c>
      <c r="T133" s="51"/>
      <c r="U133" s="7"/>
      <c r="V133" s="540"/>
      <c r="W133" s="65">
        <f t="shared" si="70"/>
        <v>0</v>
      </c>
      <c r="X133" s="51"/>
      <c r="Y133" s="7"/>
      <c r="Z133" s="540"/>
      <c r="AA133" s="65">
        <f t="shared" si="71"/>
        <v>0</v>
      </c>
      <c r="AB133" s="51"/>
      <c r="AC133" s="7"/>
      <c r="AD133" s="540"/>
      <c r="AE133" s="65">
        <f t="shared" si="72"/>
        <v>0</v>
      </c>
      <c r="AF133" s="51"/>
      <c r="AG133" s="7"/>
      <c r="AH133" s="540"/>
      <c r="AI133" s="65">
        <f t="shared" si="73"/>
        <v>0</v>
      </c>
      <c r="AJ133" s="51"/>
      <c r="AK133" s="7"/>
      <c r="AL133" s="540"/>
      <c r="AM133" s="65">
        <f t="shared" si="74"/>
        <v>0</v>
      </c>
      <c r="AN133" s="51"/>
      <c r="AO133" s="7"/>
      <c r="AP133" s="540"/>
      <c r="AQ133" s="65">
        <f t="shared" si="75"/>
        <v>0</v>
      </c>
      <c r="AR133" s="51"/>
      <c r="AS133" s="7"/>
      <c r="AT133" s="540"/>
      <c r="AU133" s="65">
        <f t="shared" si="76"/>
        <v>0</v>
      </c>
      <c r="AV133" s="51"/>
      <c r="AW133" s="7"/>
      <c r="AX133" s="540"/>
      <c r="AY133" s="65">
        <f t="shared" si="77"/>
        <v>0</v>
      </c>
      <c r="AZ133" s="51"/>
      <c r="BA133" s="53">
        <f t="shared" si="64"/>
        <v>0</v>
      </c>
      <c r="BB133" s="7">
        <f t="shared" si="65"/>
        <v>0</v>
      </c>
      <c r="BC133" s="65">
        <f t="shared" si="78"/>
        <v>0</v>
      </c>
    </row>
    <row r="134" spans="1:55" ht="14.25">
      <c r="A134" s="537" t="s">
        <v>243</v>
      </c>
      <c r="B134" s="551" t="s">
        <v>358</v>
      </c>
      <c r="C134" s="56"/>
      <c r="D134" s="542"/>
      <c r="E134" s="540"/>
      <c r="F134" s="540"/>
      <c r="G134" s="50">
        <f t="shared" si="66"/>
        <v>0</v>
      </c>
      <c r="H134" s="51"/>
      <c r="I134" s="540"/>
      <c r="J134" s="540"/>
      <c r="K134" s="65">
        <f t="shared" si="67"/>
        <v>0</v>
      </c>
      <c r="L134" s="51"/>
      <c r="M134" s="540"/>
      <c r="N134" s="540"/>
      <c r="O134" s="65">
        <f t="shared" si="68"/>
        <v>0</v>
      </c>
      <c r="P134" s="51"/>
      <c r="Q134" s="540"/>
      <c r="R134" s="540"/>
      <c r="S134" s="65">
        <f t="shared" si="69"/>
        <v>0</v>
      </c>
      <c r="T134" s="51"/>
      <c r="U134" s="540"/>
      <c r="V134" s="540"/>
      <c r="W134" s="65">
        <f t="shared" si="70"/>
        <v>0</v>
      </c>
      <c r="X134" s="51"/>
      <c r="Y134" s="540"/>
      <c r="Z134" s="540"/>
      <c r="AA134" s="65">
        <f t="shared" si="71"/>
        <v>0</v>
      </c>
      <c r="AB134" s="51"/>
      <c r="AC134" s="540"/>
      <c r="AD134" s="540"/>
      <c r="AE134" s="65">
        <f t="shared" si="72"/>
        <v>0</v>
      </c>
      <c r="AF134" s="51"/>
      <c r="AG134" s="540"/>
      <c r="AH134" s="540"/>
      <c r="AI134" s="65">
        <f t="shared" si="73"/>
        <v>0</v>
      </c>
      <c r="AJ134" s="51"/>
      <c r="AK134" s="540"/>
      <c r="AL134" s="540"/>
      <c r="AM134" s="65">
        <f t="shared" si="74"/>
        <v>0</v>
      </c>
      <c r="AN134" s="51"/>
      <c r="AO134" s="540"/>
      <c r="AP134" s="540"/>
      <c r="AQ134" s="65">
        <f t="shared" si="75"/>
        <v>0</v>
      </c>
      <c r="AR134" s="51"/>
      <c r="AS134" s="540"/>
      <c r="AT134" s="540"/>
      <c r="AU134" s="65">
        <f t="shared" si="76"/>
        <v>0</v>
      </c>
      <c r="AV134" s="51"/>
      <c r="AW134" s="540"/>
      <c r="AX134" s="540"/>
      <c r="AY134" s="65">
        <f t="shared" si="77"/>
        <v>0</v>
      </c>
      <c r="AZ134" s="51"/>
      <c r="BA134" s="541">
        <f>E134+I134+M134+Q134+U134+Y134+AC134+AG134+AK134+AO134+AS134+AW134</f>
        <v>0</v>
      </c>
      <c r="BB134" s="540">
        <f>F134+J134+N134+R134+V134+Z134+AD134+AH134+AL134+AP134+AT134+AX134</f>
        <v>0</v>
      </c>
      <c r="BC134" s="65">
        <f t="shared" si="78"/>
        <v>0</v>
      </c>
    </row>
    <row r="135" spans="1:55" ht="14.25">
      <c r="A135" s="537" t="s">
        <v>244</v>
      </c>
      <c r="B135" s="551" t="s">
        <v>359</v>
      </c>
      <c r="C135" s="56"/>
      <c r="D135" s="542"/>
      <c r="E135" s="540"/>
      <c r="F135" s="540"/>
      <c r="G135" s="50">
        <f t="shared" si="66"/>
        <v>0</v>
      </c>
      <c r="H135" s="51"/>
      <c r="I135" s="540"/>
      <c r="J135" s="540"/>
      <c r="K135" s="65">
        <f t="shared" si="67"/>
        <v>0</v>
      </c>
      <c r="L135" s="51"/>
      <c r="M135" s="540"/>
      <c r="N135" s="540"/>
      <c r="O135" s="65">
        <f t="shared" si="68"/>
        <v>0</v>
      </c>
      <c r="P135" s="51"/>
      <c r="Q135" s="540"/>
      <c r="R135" s="540"/>
      <c r="S135" s="65">
        <f t="shared" si="69"/>
        <v>0</v>
      </c>
      <c r="T135" s="51"/>
      <c r="U135" s="540"/>
      <c r="V135" s="540"/>
      <c r="W135" s="65">
        <f t="shared" si="70"/>
        <v>0</v>
      </c>
      <c r="X135" s="51"/>
      <c r="Y135" s="540"/>
      <c r="Z135" s="540"/>
      <c r="AA135" s="65">
        <f t="shared" si="71"/>
        <v>0</v>
      </c>
      <c r="AB135" s="51"/>
      <c r="AC135" s="540"/>
      <c r="AD135" s="540"/>
      <c r="AE135" s="65">
        <f t="shared" si="72"/>
        <v>0</v>
      </c>
      <c r="AF135" s="51"/>
      <c r="AG135" s="540"/>
      <c r="AH135" s="540"/>
      <c r="AI135" s="65">
        <f t="shared" si="73"/>
        <v>0</v>
      </c>
      <c r="AJ135" s="51"/>
      <c r="AK135" s="540"/>
      <c r="AL135" s="540"/>
      <c r="AM135" s="65">
        <f t="shared" si="74"/>
        <v>0</v>
      </c>
      <c r="AN135" s="51"/>
      <c r="AO135" s="540"/>
      <c r="AP135" s="540"/>
      <c r="AQ135" s="65">
        <f t="shared" si="75"/>
        <v>0</v>
      </c>
      <c r="AR135" s="51"/>
      <c r="AS135" s="540"/>
      <c r="AT135" s="540"/>
      <c r="AU135" s="65">
        <f t="shared" si="76"/>
        <v>0</v>
      </c>
      <c r="AV135" s="51"/>
      <c r="AW135" s="540"/>
      <c r="AX135" s="540"/>
      <c r="AY135" s="65">
        <f t="shared" si="77"/>
        <v>0</v>
      </c>
      <c r="AZ135" s="51"/>
      <c r="BA135" s="541">
        <f aca="true" t="shared" si="79" ref="BA135:BA146">E135+I135+M135+Q135+U135+Y135+AC135+AG135+AK135+AO135+AS135+AW135</f>
        <v>0</v>
      </c>
      <c r="BB135" s="540">
        <f aca="true" t="shared" si="80" ref="BB135:BB146">F135+J135+N135+R135+V135+Z135+AD135+AH135+AL135+AP135+AT135+AX135</f>
        <v>0</v>
      </c>
      <c r="BC135" s="65">
        <f t="shared" si="78"/>
        <v>0</v>
      </c>
    </row>
    <row r="136" spans="1:55" ht="14.25">
      <c r="A136" s="537" t="s">
        <v>245</v>
      </c>
      <c r="B136" s="551" t="s">
        <v>1019</v>
      </c>
      <c r="C136" s="56"/>
      <c r="D136" s="542"/>
      <c r="E136" s="540"/>
      <c r="F136" s="540"/>
      <c r="G136" s="50">
        <f t="shared" si="66"/>
        <v>0</v>
      </c>
      <c r="H136" s="51"/>
      <c r="I136" s="540"/>
      <c r="J136" s="540"/>
      <c r="K136" s="65">
        <f t="shared" si="67"/>
        <v>0</v>
      </c>
      <c r="L136" s="51"/>
      <c r="M136" s="540"/>
      <c r="N136" s="540"/>
      <c r="O136" s="65">
        <f t="shared" si="68"/>
        <v>0</v>
      </c>
      <c r="P136" s="51"/>
      <c r="Q136" s="540"/>
      <c r="R136" s="540"/>
      <c r="S136" s="65">
        <f t="shared" si="69"/>
        <v>0</v>
      </c>
      <c r="T136" s="51"/>
      <c r="U136" s="540"/>
      <c r="V136" s="540"/>
      <c r="W136" s="65">
        <f t="shared" si="70"/>
        <v>0</v>
      </c>
      <c r="X136" s="51"/>
      <c r="Y136" s="540"/>
      <c r="Z136" s="540"/>
      <c r="AA136" s="65">
        <f t="shared" si="71"/>
        <v>0</v>
      </c>
      <c r="AB136" s="51"/>
      <c r="AC136" s="540"/>
      <c r="AD136" s="540"/>
      <c r="AE136" s="65">
        <f t="shared" si="72"/>
        <v>0</v>
      </c>
      <c r="AF136" s="51"/>
      <c r="AG136" s="540"/>
      <c r="AH136" s="540"/>
      <c r="AI136" s="65">
        <f t="shared" si="73"/>
        <v>0</v>
      </c>
      <c r="AJ136" s="51"/>
      <c r="AK136" s="540"/>
      <c r="AL136" s="540"/>
      <c r="AM136" s="65">
        <f t="shared" si="74"/>
        <v>0</v>
      </c>
      <c r="AN136" s="51"/>
      <c r="AO136" s="540"/>
      <c r="AP136" s="540"/>
      <c r="AQ136" s="65">
        <f t="shared" si="75"/>
        <v>0</v>
      </c>
      <c r="AR136" s="51"/>
      <c r="AS136" s="540"/>
      <c r="AT136" s="540"/>
      <c r="AU136" s="65">
        <f t="shared" si="76"/>
        <v>0</v>
      </c>
      <c r="AV136" s="51"/>
      <c r="AW136" s="540"/>
      <c r="AX136" s="540"/>
      <c r="AY136" s="65">
        <f t="shared" si="77"/>
        <v>0</v>
      </c>
      <c r="AZ136" s="51"/>
      <c r="BA136" s="541">
        <f t="shared" si="79"/>
        <v>0</v>
      </c>
      <c r="BB136" s="540">
        <f t="shared" si="80"/>
        <v>0</v>
      </c>
      <c r="BC136" s="65">
        <f t="shared" si="78"/>
        <v>0</v>
      </c>
    </row>
    <row r="137" spans="1:55" ht="14.25">
      <c r="A137" s="543" t="s">
        <v>907</v>
      </c>
      <c r="B137" s="681" t="s">
        <v>715</v>
      </c>
      <c r="C137" s="56"/>
      <c r="D137" s="61">
        <f>SUM(D138:D167)</f>
        <v>0</v>
      </c>
      <c r="E137" s="62">
        <f>SUM(E138:E167)</f>
        <v>7000</v>
      </c>
      <c r="F137" s="62">
        <f>SUM(F138:F167)</f>
        <v>0</v>
      </c>
      <c r="G137" s="63">
        <f>SUM(G138:G167)</f>
        <v>7000</v>
      </c>
      <c r="H137" s="51"/>
      <c r="I137" s="62">
        <f>SUM(I138:I167)</f>
        <v>0</v>
      </c>
      <c r="J137" s="62">
        <f>SUM(J138:J167)</f>
        <v>0</v>
      </c>
      <c r="K137" s="63">
        <f>SUM(K138:K167)</f>
        <v>7000</v>
      </c>
      <c r="L137" s="51"/>
      <c r="M137" s="62">
        <f>SUM(M138:M167)</f>
        <v>0</v>
      </c>
      <c r="N137" s="62">
        <f>SUM(N138:N167)</f>
        <v>0</v>
      </c>
      <c r="O137" s="63">
        <f>SUM(O138:O167)</f>
        <v>7000</v>
      </c>
      <c r="P137" s="51"/>
      <c r="Q137" s="62">
        <f>SUM(Q138:Q167)</f>
        <v>0</v>
      </c>
      <c r="R137" s="62">
        <f>SUM(R138:R167)</f>
        <v>0</v>
      </c>
      <c r="S137" s="63">
        <f>SUM(S138:S167)</f>
        <v>7000</v>
      </c>
      <c r="T137" s="51"/>
      <c r="U137" s="62">
        <f>SUM(U138:U167)</f>
        <v>0</v>
      </c>
      <c r="V137" s="62">
        <f>SUM(V138:V167)</f>
        <v>0</v>
      </c>
      <c r="W137" s="63">
        <f>SUM(W138:W167)</f>
        <v>7000</v>
      </c>
      <c r="X137" s="51"/>
      <c r="Y137" s="62">
        <f>SUM(Y138:Y167)</f>
        <v>0</v>
      </c>
      <c r="Z137" s="62">
        <f>SUM(Z138:Z167)</f>
        <v>0</v>
      </c>
      <c r="AA137" s="63">
        <f>SUM(AA138:AA167)</f>
        <v>7000</v>
      </c>
      <c r="AB137" s="51"/>
      <c r="AC137" s="62">
        <f>SUM(AC138:AC167)</f>
        <v>0</v>
      </c>
      <c r="AD137" s="62">
        <f>SUM(AD138:AD167)</f>
        <v>0</v>
      </c>
      <c r="AE137" s="63">
        <f>SUM(AE138:AE167)</f>
        <v>7000</v>
      </c>
      <c r="AF137" s="51"/>
      <c r="AG137" s="62">
        <f>SUM(AG138:AG167)</f>
        <v>0</v>
      </c>
      <c r="AH137" s="62">
        <f>SUM(AH138:AH167)</f>
        <v>0</v>
      </c>
      <c r="AI137" s="63">
        <f>SUM(AI138:AI167)</f>
        <v>7000</v>
      </c>
      <c r="AJ137" s="51"/>
      <c r="AK137" s="62">
        <f>SUM(AK138:AK167)</f>
        <v>0</v>
      </c>
      <c r="AL137" s="62">
        <f>SUM(AL138:AL167)</f>
        <v>0</v>
      </c>
      <c r="AM137" s="63">
        <f>SUM(AM138:AM167)</f>
        <v>7000</v>
      </c>
      <c r="AN137" s="51"/>
      <c r="AO137" s="62">
        <f>SUM(AO138:AO167)</f>
        <v>0</v>
      </c>
      <c r="AP137" s="62">
        <f>SUM(AP138:AP167)</f>
        <v>0</v>
      </c>
      <c r="AQ137" s="63">
        <f>SUM(AQ138:AQ167)</f>
        <v>7000</v>
      </c>
      <c r="AR137" s="51"/>
      <c r="AS137" s="62">
        <f>SUM(AS138:AS167)</f>
        <v>0</v>
      </c>
      <c r="AT137" s="62">
        <f>SUM(AT138:AT167)</f>
        <v>0</v>
      </c>
      <c r="AU137" s="63">
        <f>SUM(AU138:AU167)</f>
        <v>7000</v>
      </c>
      <c r="AV137" s="51"/>
      <c r="AW137" s="62">
        <f>SUM(AW138:AW167)</f>
        <v>0</v>
      </c>
      <c r="AX137" s="62">
        <f>SUM(AX138:AX167)</f>
        <v>0</v>
      </c>
      <c r="AY137" s="63">
        <f>SUM(AY138:AY167)</f>
        <v>7000</v>
      </c>
      <c r="AZ137" s="51"/>
      <c r="BA137" s="545">
        <f>SUM(BA138:BA167)</f>
        <v>7000</v>
      </c>
      <c r="BB137" s="62">
        <f>SUM(BB138:BB167)</f>
        <v>0</v>
      </c>
      <c r="BC137" s="63">
        <f>SUM(BC138:BC167)</f>
        <v>7000</v>
      </c>
    </row>
    <row r="138" spans="1:55" ht="14.25">
      <c r="A138" s="537" t="s">
        <v>246</v>
      </c>
      <c r="B138" s="634" t="s">
        <v>714</v>
      </c>
      <c r="C138" s="58"/>
      <c r="D138" s="542"/>
      <c r="E138" s="540">
        <v>500</v>
      </c>
      <c r="F138" s="540"/>
      <c r="G138" s="50">
        <f t="shared" si="66"/>
        <v>500</v>
      </c>
      <c r="H138" s="51"/>
      <c r="I138" s="540"/>
      <c r="J138" s="540"/>
      <c r="K138" s="65">
        <f t="shared" si="67"/>
        <v>500</v>
      </c>
      <c r="L138" s="51"/>
      <c r="M138" s="540"/>
      <c r="N138" s="540"/>
      <c r="O138" s="65">
        <f t="shared" si="68"/>
        <v>500</v>
      </c>
      <c r="P138" s="51"/>
      <c r="Q138" s="540"/>
      <c r="R138" s="540"/>
      <c r="S138" s="65">
        <f t="shared" si="69"/>
        <v>500</v>
      </c>
      <c r="T138" s="51"/>
      <c r="U138" s="540"/>
      <c r="V138" s="540"/>
      <c r="W138" s="65">
        <f t="shared" si="70"/>
        <v>500</v>
      </c>
      <c r="X138" s="51"/>
      <c r="Y138" s="540"/>
      <c r="Z138" s="540"/>
      <c r="AA138" s="65">
        <f t="shared" si="71"/>
        <v>500</v>
      </c>
      <c r="AB138" s="51"/>
      <c r="AC138" s="540"/>
      <c r="AD138" s="540"/>
      <c r="AE138" s="65">
        <f t="shared" si="72"/>
        <v>500</v>
      </c>
      <c r="AF138" s="51"/>
      <c r="AG138" s="540"/>
      <c r="AH138" s="540"/>
      <c r="AI138" s="65">
        <f t="shared" si="73"/>
        <v>500</v>
      </c>
      <c r="AJ138" s="51"/>
      <c r="AK138" s="540"/>
      <c r="AL138" s="540"/>
      <c r="AM138" s="65">
        <f t="shared" si="74"/>
        <v>500</v>
      </c>
      <c r="AN138" s="51"/>
      <c r="AO138" s="540"/>
      <c r="AP138" s="540"/>
      <c r="AQ138" s="65">
        <f t="shared" si="75"/>
        <v>500</v>
      </c>
      <c r="AR138" s="51"/>
      <c r="AS138" s="540"/>
      <c r="AT138" s="540"/>
      <c r="AU138" s="65">
        <f t="shared" si="76"/>
        <v>500</v>
      </c>
      <c r="AV138" s="51"/>
      <c r="AW138" s="540"/>
      <c r="AX138" s="540"/>
      <c r="AY138" s="65">
        <f t="shared" si="77"/>
        <v>500</v>
      </c>
      <c r="AZ138" s="51"/>
      <c r="BA138" s="541">
        <f t="shared" si="79"/>
        <v>500</v>
      </c>
      <c r="BB138" s="540">
        <f t="shared" si="80"/>
        <v>0</v>
      </c>
      <c r="BC138" s="65">
        <f t="shared" si="78"/>
        <v>500</v>
      </c>
    </row>
    <row r="139" spans="1:55" ht="14.25">
      <c r="A139" s="537" t="s">
        <v>247</v>
      </c>
      <c r="B139" s="634" t="s">
        <v>520</v>
      </c>
      <c r="C139" s="58"/>
      <c r="D139" s="542"/>
      <c r="E139" s="540"/>
      <c r="F139" s="540"/>
      <c r="G139" s="50">
        <f t="shared" si="66"/>
        <v>0</v>
      </c>
      <c r="H139" s="51"/>
      <c r="I139" s="540"/>
      <c r="J139" s="540"/>
      <c r="K139" s="65">
        <f t="shared" si="67"/>
        <v>0</v>
      </c>
      <c r="L139" s="51"/>
      <c r="M139" s="540"/>
      <c r="N139" s="540"/>
      <c r="O139" s="65">
        <f t="shared" si="68"/>
        <v>0</v>
      </c>
      <c r="P139" s="51"/>
      <c r="Q139" s="540"/>
      <c r="R139" s="540"/>
      <c r="S139" s="65">
        <f t="shared" si="69"/>
        <v>0</v>
      </c>
      <c r="T139" s="51"/>
      <c r="U139" s="540"/>
      <c r="V139" s="540"/>
      <c r="W139" s="65">
        <f t="shared" si="70"/>
        <v>0</v>
      </c>
      <c r="X139" s="51"/>
      <c r="Y139" s="540"/>
      <c r="Z139" s="540"/>
      <c r="AA139" s="65">
        <f t="shared" si="71"/>
        <v>0</v>
      </c>
      <c r="AB139" s="51"/>
      <c r="AC139" s="540"/>
      <c r="AD139" s="540"/>
      <c r="AE139" s="65">
        <f>AA139+AC139-AD139</f>
        <v>0</v>
      </c>
      <c r="AF139" s="51"/>
      <c r="AG139" s="540"/>
      <c r="AH139" s="540"/>
      <c r="AI139" s="65">
        <f>AE139+AG139-AH139</f>
        <v>0</v>
      </c>
      <c r="AJ139" s="51"/>
      <c r="AK139" s="540"/>
      <c r="AL139" s="540"/>
      <c r="AM139" s="65">
        <f>AI139+AK139-AL139</f>
        <v>0</v>
      </c>
      <c r="AN139" s="51"/>
      <c r="AO139" s="540"/>
      <c r="AP139" s="540"/>
      <c r="AQ139" s="65">
        <f>AM139+AO139-AP139</f>
        <v>0</v>
      </c>
      <c r="AR139" s="51"/>
      <c r="AS139" s="540"/>
      <c r="AT139" s="540"/>
      <c r="AU139" s="65">
        <f t="shared" si="76"/>
        <v>0</v>
      </c>
      <c r="AV139" s="51"/>
      <c r="AW139" s="540"/>
      <c r="AX139" s="540"/>
      <c r="AY139" s="65">
        <f t="shared" si="77"/>
        <v>0</v>
      </c>
      <c r="AZ139" s="51"/>
      <c r="BA139" s="541">
        <f>E139+I139+M139+Q139+U139+Y139+AC139+AG139+AK139+AO139+AS139+AW139</f>
        <v>0</v>
      </c>
      <c r="BB139" s="540">
        <f>F139+J139+N139+R139+V139+Z139+AD139+AH139+AL139+AP139+AT139+AX139</f>
        <v>0</v>
      </c>
      <c r="BC139" s="65">
        <f>D139+BA139-BB139</f>
        <v>0</v>
      </c>
    </row>
    <row r="140" spans="1:55" ht="15">
      <c r="A140" s="537" t="s">
        <v>248</v>
      </c>
      <c r="B140" s="551" t="s">
        <v>970</v>
      </c>
      <c r="C140" s="54"/>
      <c r="D140" s="542"/>
      <c r="E140" s="540"/>
      <c r="F140" s="540"/>
      <c r="G140" s="50">
        <f t="shared" si="66"/>
        <v>0</v>
      </c>
      <c r="H140" s="51"/>
      <c r="I140" s="540"/>
      <c r="J140" s="540"/>
      <c r="K140" s="65">
        <f t="shared" si="67"/>
        <v>0</v>
      </c>
      <c r="L140" s="51"/>
      <c r="M140" s="540"/>
      <c r="N140" s="540"/>
      <c r="O140" s="65">
        <f t="shared" si="68"/>
        <v>0</v>
      </c>
      <c r="P140" s="51"/>
      <c r="Q140" s="540"/>
      <c r="R140" s="540"/>
      <c r="S140" s="65">
        <f t="shared" si="69"/>
        <v>0</v>
      </c>
      <c r="T140" s="51"/>
      <c r="U140" s="540"/>
      <c r="V140" s="540"/>
      <c r="W140" s="65">
        <f t="shared" si="70"/>
        <v>0</v>
      </c>
      <c r="X140" s="51"/>
      <c r="Y140" s="540"/>
      <c r="Z140" s="540"/>
      <c r="AA140" s="65">
        <f t="shared" si="71"/>
        <v>0</v>
      </c>
      <c r="AB140" s="51"/>
      <c r="AC140" s="540"/>
      <c r="AD140" s="540"/>
      <c r="AE140" s="65">
        <f t="shared" si="72"/>
        <v>0</v>
      </c>
      <c r="AF140" s="51"/>
      <c r="AG140" s="540"/>
      <c r="AH140" s="540"/>
      <c r="AI140" s="65">
        <f t="shared" si="73"/>
        <v>0</v>
      </c>
      <c r="AJ140" s="51"/>
      <c r="AK140" s="540"/>
      <c r="AL140" s="540"/>
      <c r="AM140" s="65">
        <f t="shared" si="74"/>
        <v>0</v>
      </c>
      <c r="AN140" s="51"/>
      <c r="AO140" s="540"/>
      <c r="AP140" s="540"/>
      <c r="AQ140" s="65">
        <f t="shared" si="75"/>
        <v>0</v>
      </c>
      <c r="AR140" s="51"/>
      <c r="AS140" s="540"/>
      <c r="AT140" s="540"/>
      <c r="AU140" s="65">
        <f t="shared" si="76"/>
        <v>0</v>
      </c>
      <c r="AV140" s="51"/>
      <c r="AW140" s="540"/>
      <c r="AX140" s="540"/>
      <c r="AY140" s="65">
        <f t="shared" si="77"/>
        <v>0</v>
      </c>
      <c r="AZ140" s="51"/>
      <c r="BA140" s="541">
        <f t="shared" si="79"/>
        <v>0</v>
      </c>
      <c r="BB140" s="540">
        <f t="shared" si="80"/>
        <v>0</v>
      </c>
      <c r="BC140" s="65">
        <f t="shared" si="78"/>
        <v>0</v>
      </c>
    </row>
    <row r="141" spans="1:55" ht="15">
      <c r="A141" s="537" t="s">
        <v>249</v>
      </c>
      <c r="B141" s="551" t="s">
        <v>982</v>
      </c>
      <c r="C141" s="54"/>
      <c r="D141" s="542"/>
      <c r="E141" s="540"/>
      <c r="F141" s="540"/>
      <c r="G141" s="50">
        <f t="shared" si="66"/>
        <v>0</v>
      </c>
      <c r="H141" s="51"/>
      <c r="I141" s="540"/>
      <c r="J141" s="540"/>
      <c r="K141" s="65">
        <f t="shared" si="67"/>
        <v>0</v>
      </c>
      <c r="L141" s="51"/>
      <c r="M141" s="540"/>
      <c r="N141" s="540"/>
      <c r="O141" s="65">
        <f t="shared" si="68"/>
        <v>0</v>
      </c>
      <c r="P141" s="51"/>
      <c r="Q141" s="540"/>
      <c r="R141" s="540"/>
      <c r="S141" s="65">
        <f t="shared" si="69"/>
        <v>0</v>
      </c>
      <c r="T141" s="51"/>
      <c r="U141" s="540"/>
      <c r="V141" s="540"/>
      <c r="W141" s="65">
        <f t="shared" si="70"/>
        <v>0</v>
      </c>
      <c r="X141" s="51"/>
      <c r="Y141" s="540"/>
      <c r="Z141" s="540"/>
      <c r="AA141" s="65">
        <f t="shared" si="71"/>
        <v>0</v>
      </c>
      <c r="AB141" s="51"/>
      <c r="AC141" s="540"/>
      <c r="AD141" s="540"/>
      <c r="AE141" s="65">
        <f t="shared" si="72"/>
        <v>0</v>
      </c>
      <c r="AF141" s="51"/>
      <c r="AG141" s="540"/>
      <c r="AH141" s="540"/>
      <c r="AI141" s="65">
        <f t="shared" si="73"/>
        <v>0</v>
      </c>
      <c r="AJ141" s="51"/>
      <c r="AK141" s="540"/>
      <c r="AL141" s="540"/>
      <c r="AM141" s="65">
        <f t="shared" si="74"/>
        <v>0</v>
      </c>
      <c r="AN141" s="51"/>
      <c r="AO141" s="540"/>
      <c r="AP141" s="540"/>
      <c r="AQ141" s="65">
        <f t="shared" si="75"/>
        <v>0</v>
      </c>
      <c r="AR141" s="51"/>
      <c r="AS141" s="540"/>
      <c r="AT141" s="540"/>
      <c r="AU141" s="65">
        <f t="shared" si="76"/>
        <v>0</v>
      </c>
      <c r="AV141" s="51"/>
      <c r="AW141" s="540"/>
      <c r="AX141" s="540"/>
      <c r="AY141" s="65">
        <f t="shared" si="77"/>
        <v>0</v>
      </c>
      <c r="AZ141" s="51"/>
      <c r="BA141" s="541">
        <f t="shared" si="79"/>
        <v>0</v>
      </c>
      <c r="BB141" s="540">
        <f t="shared" si="80"/>
        <v>0</v>
      </c>
      <c r="BC141" s="65">
        <f t="shared" si="78"/>
        <v>0</v>
      </c>
    </row>
    <row r="142" spans="1:55" ht="14.25">
      <c r="A142" s="537" t="s">
        <v>250</v>
      </c>
      <c r="B142" s="551" t="s">
        <v>973</v>
      </c>
      <c r="C142" s="56"/>
      <c r="D142" s="542"/>
      <c r="E142" s="540"/>
      <c r="F142" s="540"/>
      <c r="G142" s="50">
        <f t="shared" si="66"/>
        <v>0</v>
      </c>
      <c r="H142" s="51"/>
      <c r="I142" s="540"/>
      <c r="J142" s="540"/>
      <c r="K142" s="65">
        <f t="shared" si="67"/>
        <v>0</v>
      </c>
      <c r="L142" s="51"/>
      <c r="M142" s="540"/>
      <c r="N142" s="540"/>
      <c r="O142" s="65">
        <f t="shared" si="68"/>
        <v>0</v>
      </c>
      <c r="P142" s="51"/>
      <c r="Q142" s="540"/>
      <c r="R142" s="540"/>
      <c r="S142" s="65">
        <f t="shared" si="69"/>
        <v>0</v>
      </c>
      <c r="T142" s="51"/>
      <c r="U142" s="540"/>
      <c r="V142" s="540"/>
      <c r="W142" s="65">
        <f t="shared" si="70"/>
        <v>0</v>
      </c>
      <c r="X142" s="51"/>
      <c r="Y142" s="540"/>
      <c r="Z142" s="540"/>
      <c r="AA142" s="65">
        <f t="shared" si="71"/>
        <v>0</v>
      </c>
      <c r="AB142" s="51"/>
      <c r="AC142" s="540"/>
      <c r="AD142" s="540"/>
      <c r="AE142" s="65">
        <f t="shared" si="72"/>
        <v>0</v>
      </c>
      <c r="AF142" s="51"/>
      <c r="AG142" s="540"/>
      <c r="AH142" s="540"/>
      <c r="AI142" s="65">
        <f t="shared" si="73"/>
        <v>0</v>
      </c>
      <c r="AJ142" s="51"/>
      <c r="AK142" s="540"/>
      <c r="AL142" s="540"/>
      <c r="AM142" s="65">
        <f t="shared" si="74"/>
        <v>0</v>
      </c>
      <c r="AN142" s="51"/>
      <c r="AO142" s="540"/>
      <c r="AP142" s="540"/>
      <c r="AQ142" s="65">
        <f t="shared" si="75"/>
        <v>0</v>
      </c>
      <c r="AR142" s="51"/>
      <c r="AS142" s="540"/>
      <c r="AT142" s="540"/>
      <c r="AU142" s="65">
        <f t="shared" si="76"/>
        <v>0</v>
      </c>
      <c r="AV142" s="51"/>
      <c r="AW142" s="540"/>
      <c r="AX142" s="540"/>
      <c r="AY142" s="65">
        <f t="shared" si="77"/>
        <v>0</v>
      </c>
      <c r="AZ142" s="51"/>
      <c r="BA142" s="541">
        <f t="shared" si="79"/>
        <v>0</v>
      </c>
      <c r="BB142" s="540">
        <f t="shared" si="80"/>
        <v>0</v>
      </c>
      <c r="BC142" s="65">
        <f t="shared" si="78"/>
        <v>0</v>
      </c>
    </row>
    <row r="143" spans="1:55" ht="14.25">
      <c r="A143" s="537" t="s">
        <v>251</v>
      </c>
      <c r="B143" s="551" t="s">
        <v>967</v>
      </c>
      <c r="C143" s="56"/>
      <c r="D143" s="542"/>
      <c r="E143" s="540"/>
      <c r="F143" s="540"/>
      <c r="G143" s="50">
        <f t="shared" si="66"/>
        <v>0</v>
      </c>
      <c r="H143" s="51"/>
      <c r="I143" s="540"/>
      <c r="J143" s="540"/>
      <c r="K143" s="65">
        <f t="shared" si="67"/>
        <v>0</v>
      </c>
      <c r="L143" s="51"/>
      <c r="M143" s="540"/>
      <c r="N143" s="540"/>
      <c r="O143" s="65">
        <f t="shared" si="68"/>
        <v>0</v>
      </c>
      <c r="P143" s="51"/>
      <c r="Q143" s="540"/>
      <c r="R143" s="540"/>
      <c r="S143" s="65">
        <f t="shared" si="69"/>
        <v>0</v>
      </c>
      <c r="T143" s="51"/>
      <c r="U143" s="540"/>
      <c r="V143" s="540"/>
      <c r="W143" s="65">
        <f t="shared" si="70"/>
        <v>0</v>
      </c>
      <c r="X143" s="51"/>
      <c r="Y143" s="540"/>
      <c r="Z143" s="540"/>
      <c r="AA143" s="65">
        <f t="shared" si="71"/>
        <v>0</v>
      </c>
      <c r="AB143" s="51"/>
      <c r="AC143" s="540"/>
      <c r="AD143" s="540"/>
      <c r="AE143" s="65">
        <f t="shared" si="72"/>
        <v>0</v>
      </c>
      <c r="AF143" s="51"/>
      <c r="AG143" s="540"/>
      <c r="AH143" s="540"/>
      <c r="AI143" s="65">
        <f t="shared" si="73"/>
        <v>0</v>
      </c>
      <c r="AJ143" s="51"/>
      <c r="AK143" s="540"/>
      <c r="AL143" s="540"/>
      <c r="AM143" s="65">
        <f t="shared" si="74"/>
        <v>0</v>
      </c>
      <c r="AN143" s="51"/>
      <c r="AO143" s="540"/>
      <c r="AP143" s="540"/>
      <c r="AQ143" s="65">
        <f t="shared" si="75"/>
        <v>0</v>
      </c>
      <c r="AR143" s="51"/>
      <c r="AS143" s="540"/>
      <c r="AT143" s="540"/>
      <c r="AU143" s="65">
        <f t="shared" si="76"/>
        <v>0</v>
      </c>
      <c r="AV143" s="51"/>
      <c r="AW143" s="540"/>
      <c r="AX143" s="540"/>
      <c r="AY143" s="65">
        <f t="shared" si="77"/>
        <v>0</v>
      </c>
      <c r="AZ143" s="51"/>
      <c r="BA143" s="541">
        <f t="shared" si="79"/>
        <v>0</v>
      </c>
      <c r="BB143" s="540">
        <f t="shared" si="80"/>
        <v>0</v>
      </c>
      <c r="BC143" s="65">
        <f t="shared" si="78"/>
        <v>0</v>
      </c>
    </row>
    <row r="144" spans="1:55" ht="14.25">
      <c r="A144" s="537" t="s">
        <v>252</v>
      </c>
      <c r="B144" s="634" t="s">
        <v>619</v>
      </c>
      <c r="C144" s="56"/>
      <c r="D144" s="542"/>
      <c r="E144" s="540"/>
      <c r="F144" s="540"/>
      <c r="G144" s="50">
        <f t="shared" si="66"/>
        <v>0</v>
      </c>
      <c r="H144" s="51"/>
      <c r="I144" s="540"/>
      <c r="J144" s="540"/>
      <c r="K144" s="65">
        <f t="shared" si="67"/>
        <v>0</v>
      </c>
      <c r="L144" s="51"/>
      <c r="M144" s="540"/>
      <c r="N144" s="540"/>
      <c r="O144" s="65">
        <f t="shared" si="68"/>
        <v>0</v>
      </c>
      <c r="P144" s="51"/>
      <c r="Q144" s="540"/>
      <c r="R144" s="540"/>
      <c r="S144" s="65">
        <f t="shared" si="69"/>
        <v>0</v>
      </c>
      <c r="T144" s="51"/>
      <c r="U144" s="540"/>
      <c r="V144" s="540"/>
      <c r="W144" s="65">
        <f t="shared" si="70"/>
        <v>0</v>
      </c>
      <c r="X144" s="51"/>
      <c r="Y144" s="540"/>
      <c r="Z144" s="540"/>
      <c r="AA144" s="65">
        <f t="shared" si="71"/>
        <v>0</v>
      </c>
      <c r="AB144" s="51"/>
      <c r="AC144" s="540"/>
      <c r="AD144" s="540"/>
      <c r="AE144" s="65">
        <f t="shared" si="72"/>
        <v>0</v>
      </c>
      <c r="AF144" s="51"/>
      <c r="AG144" s="540"/>
      <c r="AH144" s="540"/>
      <c r="AI144" s="65">
        <f t="shared" si="73"/>
        <v>0</v>
      </c>
      <c r="AJ144" s="51"/>
      <c r="AK144" s="540"/>
      <c r="AL144" s="540"/>
      <c r="AM144" s="65">
        <f t="shared" si="74"/>
        <v>0</v>
      </c>
      <c r="AN144" s="51"/>
      <c r="AO144" s="540"/>
      <c r="AP144" s="540"/>
      <c r="AQ144" s="65">
        <f t="shared" si="75"/>
        <v>0</v>
      </c>
      <c r="AR144" s="51"/>
      <c r="AS144" s="540"/>
      <c r="AT144" s="540"/>
      <c r="AU144" s="65">
        <f t="shared" si="76"/>
        <v>0</v>
      </c>
      <c r="AV144" s="51"/>
      <c r="AW144" s="540"/>
      <c r="AX144" s="540"/>
      <c r="AY144" s="65">
        <f t="shared" si="77"/>
        <v>0</v>
      </c>
      <c r="AZ144" s="51"/>
      <c r="BA144" s="541">
        <f t="shared" si="79"/>
        <v>0</v>
      </c>
      <c r="BB144" s="540">
        <f t="shared" si="80"/>
        <v>0</v>
      </c>
      <c r="BC144" s="65">
        <f t="shared" si="78"/>
        <v>0</v>
      </c>
    </row>
    <row r="145" spans="1:55" ht="15">
      <c r="A145" s="537" t="s">
        <v>253</v>
      </c>
      <c r="B145" s="634" t="s">
        <v>362</v>
      </c>
      <c r="C145" s="54"/>
      <c r="D145" s="542"/>
      <c r="E145" s="540"/>
      <c r="F145" s="540"/>
      <c r="G145" s="50">
        <f t="shared" si="66"/>
        <v>0</v>
      </c>
      <c r="H145" s="51"/>
      <c r="I145" s="540"/>
      <c r="J145" s="540"/>
      <c r="K145" s="65">
        <f t="shared" si="67"/>
        <v>0</v>
      </c>
      <c r="L145" s="51"/>
      <c r="M145" s="540"/>
      <c r="N145" s="540"/>
      <c r="O145" s="65">
        <f t="shared" si="68"/>
        <v>0</v>
      </c>
      <c r="P145" s="51"/>
      <c r="Q145" s="540"/>
      <c r="R145" s="540"/>
      <c r="S145" s="65">
        <f t="shared" si="69"/>
        <v>0</v>
      </c>
      <c r="T145" s="51"/>
      <c r="U145" s="540"/>
      <c r="V145" s="540"/>
      <c r="W145" s="65">
        <f t="shared" si="70"/>
        <v>0</v>
      </c>
      <c r="X145" s="51"/>
      <c r="Y145" s="540"/>
      <c r="Z145" s="540"/>
      <c r="AA145" s="65">
        <f t="shared" si="71"/>
        <v>0</v>
      </c>
      <c r="AB145" s="51"/>
      <c r="AC145" s="540"/>
      <c r="AD145" s="540"/>
      <c r="AE145" s="65">
        <f t="shared" si="72"/>
        <v>0</v>
      </c>
      <c r="AF145" s="51"/>
      <c r="AG145" s="540"/>
      <c r="AH145" s="540"/>
      <c r="AI145" s="65">
        <f t="shared" si="73"/>
        <v>0</v>
      </c>
      <c r="AJ145" s="51"/>
      <c r="AK145" s="540"/>
      <c r="AL145" s="540"/>
      <c r="AM145" s="65">
        <f t="shared" si="74"/>
        <v>0</v>
      </c>
      <c r="AN145" s="51"/>
      <c r="AO145" s="540"/>
      <c r="AP145" s="540"/>
      <c r="AQ145" s="65">
        <f t="shared" si="75"/>
        <v>0</v>
      </c>
      <c r="AR145" s="51"/>
      <c r="AS145" s="540"/>
      <c r="AT145" s="540"/>
      <c r="AU145" s="65">
        <f t="shared" si="76"/>
        <v>0</v>
      </c>
      <c r="AV145" s="51"/>
      <c r="AW145" s="540"/>
      <c r="AX145" s="540"/>
      <c r="AY145" s="65">
        <f t="shared" si="77"/>
        <v>0</v>
      </c>
      <c r="AZ145" s="51"/>
      <c r="BA145" s="541">
        <f t="shared" si="79"/>
        <v>0</v>
      </c>
      <c r="BB145" s="540">
        <f t="shared" si="80"/>
        <v>0</v>
      </c>
      <c r="BC145" s="65">
        <f t="shared" si="78"/>
        <v>0</v>
      </c>
    </row>
    <row r="146" spans="1:55" ht="15">
      <c r="A146" s="537" t="s">
        <v>254</v>
      </c>
      <c r="B146" s="551" t="s">
        <v>361</v>
      </c>
      <c r="C146" s="54"/>
      <c r="D146" s="542"/>
      <c r="E146" s="540"/>
      <c r="F146" s="540"/>
      <c r="G146" s="50">
        <f t="shared" si="66"/>
        <v>0</v>
      </c>
      <c r="H146" s="51"/>
      <c r="I146" s="540"/>
      <c r="J146" s="540"/>
      <c r="K146" s="65">
        <f t="shared" si="67"/>
        <v>0</v>
      </c>
      <c r="L146" s="51"/>
      <c r="M146" s="540"/>
      <c r="N146" s="540"/>
      <c r="O146" s="65">
        <f t="shared" si="68"/>
        <v>0</v>
      </c>
      <c r="P146" s="51"/>
      <c r="Q146" s="540"/>
      <c r="R146" s="540"/>
      <c r="S146" s="65">
        <f t="shared" si="69"/>
        <v>0</v>
      </c>
      <c r="T146" s="51"/>
      <c r="U146" s="540"/>
      <c r="V146" s="540"/>
      <c r="W146" s="65">
        <f t="shared" si="70"/>
        <v>0</v>
      </c>
      <c r="X146" s="51"/>
      <c r="Y146" s="540"/>
      <c r="Z146" s="540"/>
      <c r="AA146" s="65">
        <f t="shared" si="71"/>
        <v>0</v>
      </c>
      <c r="AB146" s="51"/>
      <c r="AC146" s="540"/>
      <c r="AD146" s="540"/>
      <c r="AE146" s="65">
        <f t="shared" si="72"/>
        <v>0</v>
      </c>
      <c r="AF146" s="51"/>
      <c r="AG146" s="540"/>
      <c r="AH146" s="540"/>
      <c r="AI146" s="65">
        <f t="shared" si="73"/>
        <v>0</v>
      </c>
      <c r="AJ146" s="51"/>
      <c r="AK146" s="540"/>
      <c r="AL146" s="540"/>
      <c r="AM146" s="65">
        <f t="shared" si="74"/>
        <v>0</v>
      </c>
      <c r="AN146" s="51"/>
      <c r="AO146" s="540"/>
      <c r="AP146" s="540"/>
      <c r="AQ146" s="65">
        <f t="shared" si="75"/>
        <v>0</v>
      </c>
      <c r="AR146" s="51"/>
      <c r="AS146" s="540"/>
      <c r="AT146" s="540"/>
      <c r="AU146" s="65">
        <f t="shared" si="76"/>
        <v>0</v>
      </c>
      <c r="AV146" s="51"/>
      <c r="AW146" s="540"/>
      <c r="AX146" s="540"/>
      <c r="AY146" s="65">
        <f t="shared" si="77"/>
        <v>0</v>
      </c>
      <c r="AZ146" s="51"/>
      <c r="BA146" s="541">
        <f t="shared" si="79"/>
        <v>0</v>
      </c>
      <c r="BB146" s="540">
        <f t="shared" si="80"/>
        <v>0</v>
      </c>
      <c r="BC146" s="65">
        <f t="shared" si="78"/>
        <v>0</v>
      </c>
    </row>
    <row r="147" spans="1:55" ht="14.25">
      <c r="A147" s="537" t="s">
        <v>255</v>
      </c>
      <c r="B147" s="551" t="s">
        <v>363</v>
      </c>
      <c r="C147" s="71"/>
      <c r="D147" s="49"/>
      <c r="E147" s="540"/>
      <c r="F147" s="540"/>
      <c r="G147" s="50">
        <f t="shared" si="66"/>
        <v>0</v>
      </c>
      <c r="H147" s="51"/>
      <c r="I147" s="540"/>
      <c r="J147" s="540"/>
      <c r="K147" s="65">
        <f t="shared" si="67"/>
        <v>0</v>
      </c>
      <c r="L147" s="51"/>
      <c r="M147" s="540"/>
      <c r="N147" s="540"/>
      <c r="O147" s="65">
        <f t="shared" si="68"/>
        <v>0</v>
      </c>
      <c r="P147" s="51"/>
      <c r="Q147" s="540"/>
      <c r="R147" s="540"/>
      <c r="S147" s="65">
        <f t="shared" si="69"/>
        <v>0</v>
      </c>
      <c r="T147" s="51"/>
      <c r="U147" s="540"/>
      <c r="V147" s="540"/>
      <c r="W147" s="65">
        <f t="shared" si="70"/>
        <v>0</v>
      </c>
      <c r="X147" s="51"/>
      <c r="Y147" s="540"/>
      <c r="Z147" s="540"/>
      <c r="AA147" s="65">
        <f t="shared" si="71"/>
        <v>0</v>
      </c>
      <c r="AB147" s="51"/>
      <c r="AC147" s="540"/>
      <c r="AD147" s="540"/>
      <c r="AE147" s="65">
        <f t="shared" si="72"/>
        <v>0</v>
      </c>
      <c r="AF147" s="51"/>
      <c r="AG147" s="540"/>
      <c r="AH147" s="540"/>
      <c r="AI147" s="65">
        <f t="shared" si="73"/>
        <v>0</v>
      </c>
      <c r="AJ147" s="51"/>
      <c r="AK147" s="540"/>
      <c r="AL147" s="540"/>
      <c r="AM147" s="65">
        <f t="shared" si="74"/>
        <v>0</v>
      </c>
      <c r="AN147" s="51"/>
      <c r="AO147" s="540"/>
      <c r="AP147" s="540"/>
      <c r="AQ147" s="65">
        <f t="shared" si="75"/>
        <v>0</v>
      </c>
      <c r="AR147" s="51"/>
      <c r="AS147" s="540"/>
      <c r="AT147" s="540"/>
      <c r="AU147" s="65">
        <f t="shared" si="76"/>
        <v>0</v>
      </c>
      <c r="AV147" s="51"/>
      <c r="AW147" s="540"/>
      <c r="AX147" s="540"/>
      <c r="AY147" s="65">
        <f t="shared" si="77"/>
        <v>0</v>
      </c>
      <c r="AZ147" s="51"/>
      <c r="BA147" s="53">
        <f aca="true" t="shared" si="81" ref="BA147:BA171">E147+I147+M147+Q147+U147+Y147+AC147+AG147+AK147+AO147+AS147+AW147</f>
        <v>0</v>
      </c>
      <c r="BB147" s="7">
        <f aca="true" t="shared" si="82" ref="BB147:BB171">F147+J147+N147+R147+V147+Z147+AD147+AH147+AL147+AP147+AT147+AX147</f>
        <v>0</v>
      </c>
      <c r="BC147" s="65">
        <f t="shared" si="78"/>
        <v>0</v>
      </c>
    </row>
    <row r="148" spans="1:55" ht="15">
      <c r="A148" s="537" t="s">
        <v>256</v>
      </c>
      <c r="B148" s="634" t="s">
        <v>620</v>
      </c>
      <c r="C148" s="54"/>
      <c r="D148" s="49"/>
      <c r="E148" s="540"/>
      <c r="F148" s="540"/>
      <c r="G148" s="50">
        <f t="shared" si="66"/>
        <v>0</v>
      </c>
      <c r="H148" s="51"/>
      <c r="I148" s="540"/>
      <c r="J148" s="540"/>
      <c r="K148" s="65">
        <f t="shared" si="67"/>
        <v>0</v>
      </c>
      <c r="L148" s="51"/>
      <c r="M148" s="540"/>
      <c r="N148" s="540"/>
      <c r="O148" s="65">
        <f t="shared" si="68"/>
        <v>0</v>
      </c>
      <c r="P148" s="51"/>
      <c r="Q148" s="540"/>
      <c r="R148" s="540"/>
      <c r="S148" s="65">
        <f t="shared" si="69"/>
        <v>0</v>
      </c>
      <c r="T148" s="51"/>
      <c r="U148" s="540"/>
      <c r="V148" s="540"/>
      <c r="W148" s="65">
        <f t="shared" si="70"/>
        <v>0</v>
      </c>
      <c r="X148" s="51"/>
      <c r="Y148" s="540"/>
      <c r="Z148" s="540"/>
      <c r="AA148" s="65">
        <f t="shared" si="71"/>
        <v>0</v>
      </c>
      <c r="AB148" s="51"/>
      <c r="AC148" s="540"/>
      <c r="AD148" s="540"/>
      <c r="AE148" s="65">
        <f t="shared" si="72"/>
        <v>0</v>
      </c>
      <c r="AF148" s="51"/>
      <c r="AG148" s="540"/>
      <c r="AH148" s="540"/>
      <c r="AI148" s="65">
        <f t="shared" si="73"/>
        <v>0</v>
      </c>
      <c r="AJ148" s="51"/>
      <c r="AK148" s="540"/>
      <c r="AL148" s="540"/>
      <c r="AM148" s="65">
        <f t="shared" si="74"/>
        <v>0</v>
      </c>
      <c r="AN148" s="51"/>
      <c r="AO148" s="540"/>
      <c r="AP148" s="540"/>
      <c r="AQ148" s="65">
        <f t="shared" si="75"/>
        <v>0</v>
      </c>
      <c r="AR148" s="51"/>
      <c r="AS148" s="540"/>
      <c r="AT148" s="540"/>
      <c r="AU148" s="65">
        <f t="shared" si="76"/>
        <v>0</v>
      </c>
      <c r="AV148" s="51"/>
      <c r="AW148" s="540"/>
      <c r="AX148" s="540"/>
      <c r="AY148" s="65">
        <f t="shared" si="77"/>
        <v>0</v>
      </c>
      <c r="AZ148" s="51"/>
      <c r="BA148" s="53">
        <f t="shared" si="81"/>
        <v>0</v>
      </c>
      <c r="BB148" s="7">
        <f t="shared" si="82"/>
        <v>0</v>
      </c>
      <c r="BC148" s="65">
        <f t="shared" si="78"/>
        <v>0</v>
      </c>
    </row>
    <row r="149" spans="1:55" ht="15">
      <c r="A149" s="537" t="s">
        <v>257</v>
      </c>
      <c r="B149" s="551" t="s">
        <v>978</v>
      </c>
      <c r="C149" s="54"/>
      <c r="D149" s="49"/>
      <c r="E149" s="540"/>
      <c r="F149" s="540"/>
      <c r="G149" s="50">
        <f t="shared" si="66"/>
        <v>0</v>
      </c>
      <c r="H149" s="51"/>
      <c r="I149" s="540"/>
      <c r="J149" s="540"/>
      <c r="K149" s="65">
        <f t="shared" si="67"/>
        <v>0</v>
      </c>
      <c r="L149" s="51"/>
      <c r="M149" s="540"/>
      <c r="N149" s="540"/>
      <c r="O149" s="65">
        <f t="shared" si="68"/>
        <v>0</v>
      </c>
      <c r="P149" s="51"/>
      <c r="Q149" s="540"/>
      <c r="R149" s="540"/>
      <c r="S149" s="65">
        <f t="shared" si="69"/>
        <v>0</v>
      </c>
      <c r="T149" s="51"/>
      <c r="U149" s="540"/>
      <c r="V149" s="540"/>
      <c r="W149" s="65">
        <f t="shared" si="70"/>
        <v>0</v>
      </c>
      <c r="X149" s="51"/>
      <c r="Y149" s="540"/>
      <c r="Z149" s="540"/>
      <c r="AA149" s="65">
        <f t="shared" si="71"/>
        <v>0</v>
      </c>
      <c r="AB149" s="51"/>
      <c r="AC149" s="540"/>
      <c r="AD149" s="540"/>
      <c r="AE149" s="65">
        <f t="shared" si="72"/>
        <v>0</v>
      </c>
      <c r="AF149" s="51"/>
      <c r="AG149" s="540"/>
      <c r="AH149" s="540"/>
      <c r="AI149" s="65">
        <f t="shared" si="73"/>
        <v>0</v>
      </c>
      <c r="AJ149" s="51"/>
      <c r="AK149" s="540"/>
      <c r="AL149" s="540"/>
      <c r="AM149" s="65">
        <f t="shared" si="74"/>
        <v>0</v>
      </c>
      <c r="AN149" s="51"/>
      <c r="AO149" s="540"/>
      <c r="AP149" s="540"/>
      <c r="AQ149" s="65">
        <f t="shared" si="75"/>
        <v>0</v>
      </c>
      <c r="AR149" s="51"/>
      <c r="AS149" s="540"/>
      <c r="AT149" s="540"/>
      <c r="AU149" s="65">
        <f t="shared" si="76"/>
        <v>0</v>
      </c>
      <c r="AV149" s="51"/>
      <c r="AW149" s="540"/>
      <c r="AX149" s="540"/>
      <c r="AY149" s="65">
        <f t="shared" si="77"/>
        <v>0</v>
      </c>
      <c r="AZ149" s="51"/>
      <c r="BA149" s="53">
        <f t="shared" si="81"/>
        <v>0</v>
      </c>
      <c r="BB149" s="7">
        <f t="shared" si="82"/>
        <v>0</v>
      </c>
      <c r="BC149" s="65">
        <f t="shared" si="78"/>
        <v>0</v>
      </c>
    </row>
    <row r="150" spans="1:55" ht="14.25">
      <c r="A150" s="537" t="s">
        <v>258</v>
      </c>
      <c r="B150" s="634" t="s">
        <v>980</v>
      </c>
      <c r="C150" s="71"/>
      <c r="D150" s="49"/>
      <c r="E150" s="540"/>
      <c r="F150" s="540"/>
      <c r="G150" s="50">
        <f t="shared" si="66"/>
        <v>0</v>
      </c>
      <c r="H150" s="51"/>
      <c r="I150" s="540"/>
      <c r="J150" s="540"/>
      <c r="K150" s="65">
        <f t="shared" si="67"/>
        <v>0</v>
      </c>
      <c r="L150" s="51"/>
      <c r="M150" s="540"/>
      <c r="N150" s="540"/>
      <c r="O150" s="65">
        <f t="shared" si="68"/>
        <v>0</v>
      </c>
      <c r="P150" s="51"/>
      <c r="Q150" s="540"/>
      <c r="R150" s="540"/>
      <c r="S150" s="65">
        <f t="shared" si="69"/>
        <v>0</v>
      </c>
      <c r="T150" s="51"/>
      <c r="U150" s="540"/>
      <c r="V150" s="540"/>
      <c r="W150" s="65">
        <f t="shared" si="70"/>
        <v>0</v>
      </c>
      <c r="X150" s="51"/>
      <c r="Y150" s="540"/>
      <c r="Z150" s="540"/>
      <c r="AA150" s="65">
        <f t="shared" si="71"/>
        <v>0</v>
      </c>
      <c r="AB150" s="51"/>
      <c r="AC150" s="540"/>
      <c r="AD150" s="540"/>
      <c r="AE150" s="65">
        <f t="shared" si="72"/>
        <v>0</v>
      </c>
      <c r="AF150" s="51"/>
      <c r="AG150" s="540"/>
      <c r="AH150" s="540"/>
      <c r="AI150" s="65">
        <f t="shared" si="73"/>
        <v>0</v>
      </c>
      <c r="AJ150" s="51"/>
      <c r="AK150" s="540"/>
      <c r="AL150" s="540"/>
      <c r="AM150" s="65">
        <f t="shared" si="74"/>
        <v>0</v>
      </c>
      <c r="AN150" s="51"/>
      <c r="AO150" s="540"/>
      <c r="AP150" s="540"/>
      <c r="AQ150" s="65">
        <f t="shared" si="75"/>
        <v>0</v>
      </c>
      <c r="AR150" s="51"/>
      <c r="AS150" s="540"/>
      <c r="AT150" s="540"/>
      <c r="AU150" s="65">
        <f t="shared" si="76"/>
        <v>0</v>
      </c>
      <c r="AV150" s="51"/>
      <c r="AW150" s="540"/>
      <c r="AX150" s="540"/>
      <c r="AY150" s="65">
        <f t="shared" si="77"/>
        <v>0</v>
      </c>
      <c r="AZ150" s="51"/>
      <c r="BA150" s="53">
        <f t="shared" si="81"/>
        <v>0</v>
      </c>
      <c r="BB150" s="7">
        <f t="shared" si="82"/>
        <v>0</v>
      </c>
      <c r="BC150" s="65">
        <f t="shared" si="78"/>
        <v>0</v>
      </c>
    </row>
    <row r="151" spans="1:55" ht="15">
      <c r="A151" s="537" t="s">
        <v>259</v>
      </c>
      <c r="B151" s="551" t="s">
        <v>968</v>
      </c>
      <c r="C151" s="54"/>
      <c r="D151" s="49"/>
      <c r="E151" s="540"/>
      <c r="F151" s="540"/>
      <c r="G151" s="50">
        <f t="shared" si="66"/>
        <v>0</v>
      </c>
      <c r="H151" s="51"/>
      <c r="I151" s="540"/>
      <c r="J151" s="540"/>
      <c r="K151" s="65">
        <f t="shared" si="67"/>
        <v>0</v>
      </c>
      <c r="L151" s="51"/>
      <c r="M151" s="540"/>
      <c r="N151" s="540"/>
      <c r="O151" s="65">
        <f t="shared" si="68"/>
        <v>0</v>
      </c>
      <c r="P151" s="51"/>
      <c r="Q151" s="540"/>
      <c r="R151" s="540"/>
      <c r="S151" s="65">
        <f t="shared" si="69"/>
        <v>0</v>
      </c>
      <c r="T151" s="51"/>
      <c r="U151" s="540"/>
      <c r="V151" s="540"/>
      <c r="W151" s="65">
        <f t="shared" si="70"/>
        <v>0</v>
      </c>
      <c r="X151" s="51"/>
      <c r="Y151" s="540"/>
      <c r="Z151" s="540"/>
      <c r="AA151" s="65">
        <f t="shared" si="71"/>
        <v>0</v>
      </c>
      <c r="AB151" s="51"/>
      <c r="AC151" s="540"/>
      <c r="AD151" s="540"/>
      <c r="AE151" s="65">
        <f t="shared" si="72"/>
        <v>0</v>
      </c>
      <c r="AF151" s="51"/>
      <c r="AG151" s="540"/>
      <c r="AH151" s="540"/>
      <c r="AI151" s="65">
        <f t="shared" si="73"/>
        <v>0</v>
      </c>
      <c r="AJ151" s="51"/>
      <c r="AK151" s="540"/>
      <c r="AL151" s="540"/>
      <c r="AM151" s="65">
        <f t="shared" si="74"/>
        <v>0</v>
      </c>
      <c r="AN151" s="51"/>
      <c r="AO151" s="540"/>
      <c r="AP151" s="540"/>
      <c r="AQ151" s="65">
        <f t="shared" si="75"/>
        <v>0</v>
      </c>
      <c r="AR151" s="51"/>
      <c r="AS151" s="540"/>
      <c r="AT151" s="540"/>
      <c r="AU151" s="65">
        <f t="shared" si="76"/>
        <v>0</v>
      </c>
      <c r="AV151" s="51"/>
      <c r="AW151" s="540"/>
      <c r="AX151" s="540"/>
      <c r="AY151" s="65">
        <f t="shared" si="77"/>
        <v>0</v>
      </c>
      <c r="AZ151" s="51"/>
      <c r="BA151" s="53">
        <f t="shared" si="81"/>
        <v>0</v>
      </c>
      <c r="BB151" s="7">
        <f t="shared" si="82"/>
        <v>0</v>
      </c>
      <c r="BC151" s="65">
        <f t="shared" si="78"/>
        <v>0</v>
      </c>
    </row>
    <row r="152" spans="1:55" ht="14.25">
      <c r="A152" s="537" t="s">
        <v>260</v>
      </c>
      <c r="B152" s="551" t="s">
        <v>969</v>
      </c>
      <c r="C152" s="71"/>
      <c r="D152" s="49"/>
      <c r="E152" s="540"/>
      <c r="F152" s="540"/>
      <c r="G152" s="50">
        <f t="shared" si="66"/>
        <v>0</v>
      </c>
      <c r="H152" s="51"/>
      <c r="I152" s="540"/>
      <c r="J152" s="540"/>
      <c r="K152" s="65">
        <f t="shared" si="67"/>
        <v>0</v>
      </c>
      <c r="L152" s="51"/>
      <c r="M152" s="540"/>
      <c r="N152" s="540"/>
      <c r="O152" s="65">
        <f t="shared" si="68"/>
        <v>0</v>
      </c>
      <c r="P152" s="51"/>
      <c r="Q152" s="540"/>
      <c r="R152" s="540"/>
      <c r="S152" s="65">
        <f t="shared" si="69"/>
        <v>0</v>
      </c>
      <c r="T152" s="51"/>
      <c r="U152" s="540"/>
      <c r="V152" s="540"/>
      <c r="W152" s="65">
        <f t="shared" si="70"/>
        <v>0</v>
      </c>
      <c r="X152" s="51"/>
      <c r="Y152" s="540"/>
      <c r="Z152" s="540"/>
      <c r="AA152" s="65">
        <f t="shared" si="71"/>
        <v>0</v>
      </c>
      <c r="AB152" s="51"/>
      <c r="AC152" s="540"/>
      <c r="AD152" s="540"/>
      <c r="AE152" s="65">
        <f t="shared" si="72"/>
        <v>0</v>
      </c>
      <c r="AF152" s="51"/>
      <c r="AG152" s="540"/>
      <c r="AH152" s="540"/>
      <c r="AI152" s="65">
        <f t="shared" si="73"/>
        <v>0</v>
      </c>
      <c r="AJ152" s="51"/>
      <c r="AK152" s="540"/>
      <c r="AL152" s="540"/>
      <c r="AM152" s="65">
        <f t="shared" si="74"/>
        <v>0</v>
      </c>
      <c r="AN152" s="51"/>
      <c r="AO152" s="540"/>
      <c r="AP152" s="540"/>
      <c r="AQ152" s="65">
        <f t="shared" si="75"/>
        <v>0</v>
      </c>
      <c r="AR152" s="51"/>
      <c r="AS152" s="540"/>
      <c r="AT152" s="540"/>
      <c r="AU152" s="65">
        <f t="shared" si="76"/>
        <v>0</v>
      </c>
      <c r="AV152" s="51"/>
      <c r="AW152" s="540"/>
      <c r="AX152" s="540"/>
      <c r="AY152" s="65">
        <f t="shared" si="77"/>
        <v>0</v>
      </c>
      <c r="AZ152" s="51"/>
      <c r="BA152" s="53">
        <f t="shared" si="81"/>
        <v>0</v>
      </c>
      <c r="BB152" s="7">
        <f t="shared" si="82"/>
        <v>0</v>
      </c>
      <c r="BC152" s="65">
        <f t="shared" si="78"/>
        <v>0</v>
      </c>
    </row>
    <row r="153" spans="1:55" ht="14.25">
      <c r="A153" s="537" t="s">
        <v>261</v>
      </c>
      <c r="B153" s="551" t="s">
        <v>965</v>
      </c>
      <c r="C153" s="71"/>
      <c r="D153" s="49"/>
      <c r="E153" s="540"/>
      <c r="F153" s="540"/>
      <c r="G153" s="50">
        <f t="shared" si="66"/>
        <v>0</v>
      </c>
      <c r="H153" s="51"/>
      <c r="I153" s="540"/>
      <c r="J153" s="540"/>
      <c r="K153" s="65">
        <f t="shared" si="67"/>
        <v>0</v>
      </c>
      <c r="L153" s="51"/>
      <c r="M153" s="540"/>
      <c r="N153" s="540"/>
      <c r="O153" s="65">
        <f t="shared" si="68"/>
        <v>0</v>
      </c>
      <c r="P153" s="51"/>
      <c r="Q153" s="540"/>
      <c r="R153" s="540"/>
      <c r="S153" s="65">
        <f t="shared" si="69"/>
        <v>0</v>
      </c>
      <c r="T153" s="51"/>
      <c r="U153" s="540"/>
      <c r="V153" s="540"/>
      <c r="W153" s="65">
        <f t="shared" si="70"/>
        <v>0</v>
      </c>
      <c r="X153" s="51"/>
      <c r="Y153" s="540"/>
      <c r="Z153" s="540"/>
      <c r="AA153" s="65">
        <f t="shared" si="71"/>
        <v>0</v>
      </c>
      <c r="AB153" s="51"/>
      <c r="AC153" s="540"/>
      <c r="AD153" s="540"/>
      <c r="AE153" s="65">
        <f t="shared" si="72"/>
        <v>0</v>
      </c>
      <c r="AF153" s="51"/>
      <c r="AG153" s="540"/>
      <c r="AH153" s="540"/>
      <c r="AI153" s="65">
        <f t="shared" si="73"/>
        <v>0</v>
      </c>
      <c r="AJ153" s="51"/>
      <c r="AK153" s="540"/>
      <c r="AL153" s="540"/>
      <c r="AM153" s="65">
        <f t="shared" si="74"/>
        <v>0</v>
      </c>
      <c r="AN153" s="51"/>
      <c r="AO153" s="540"/>
      <c r="AP153" s="540"/>
      <c r="AQ153" s="65">
        <f t="shared" si="75"/>
        <v>0</v>
      </c>
      <c r="AR153" s="51"/>
      <c r="AS153" s="540"/>
      <c r="AT153" s="540"/>
      <c r="AU153" s="65">
        <f t="shared" si="76"/>
        <v>0</v>
      </c>
      <c r="AV153" s="51"/>
      <c r="AW153" s="540"/>
      <c r="AX153" s="540"/>
      <c r="AY153" s="65">
        <f t="shared" si="77"/>
        <v>0</v>
      </c>
      <c r="AZ153" s="51"/>
      <c r="BA153" s="53">
        <f t="shared" si="81"/>
        <v>0</v>
      </c>
      <c r="BB153" s="7">
        <f t="shared" si="82"/>
        <v>0</v>
      </c>
      <c r="BC153" s="65">
        <f t="shared" si="78"/>
        <v>0</v>
      </c>
    </row>
    <row r="154" spans="1:55" ht="15">
      <c r="A154" s="537" t="s">
        <v>262</v>
      </c>
      <c r="B154" s="551" t="s">
        <v>976</v>
      </c>
      <c r="C154" s="54"/>
      <c r="D154" s="49"/>
      <c r="E154" s="540"/>
      <c r="F154" s="540"/>
      <c r="G154" s="50">
        <f t="shared" si="66"/>
        <v>0</v>
      </c>
      <c r="H154" s="51"/>
      <c r="I154" s="540"/>
      <c r="J154" s="540"/>
      <c r="K154" s="65">
        <f t="shared" si="67"/>
        <v>0</v>
      </c>
      <c r="L154" s="51"/>
      <c r="M154" s="540"/>
      <c r="N154" s="540"/>
      <c r="O154" s="65">
        <f t="shared" si="68"/>
        <v>0</v>
      </c>
      <c r="P154" s="51"/>
      <c r="Q154" s="540"/>
      <c r="R154" s="540"/>
      <c r="S154" s="65">
        <f t="shared" si="69"/>
        <v>0</v>
      </c>
      <c r="T154" s="51"/>
      <c r="U154" s="540"/>
      <c r="V154" s="540"/>
      <c r="W154" s="65">
        <f t="shared" si="70"/>
        <v>0</v>
      </c>
      <c r="X154" s="51"/>
      <c r="Y154" s="540"/>
      <c r="Z154" s="540"/>
      <c r="AA154" s="65">
        <f t="shared" si="71"/>
        <v>0</v>
      </c>
      <c r="AB154" s="51"/>
      <c r="AC154" s="540"/>
      <c r="AD154" s="540"/>
      <c r="AE154" s="65">
        <f t="shared" si="72"/>
        <v>0</v>
      </c>
      <c r="AF154" s="51"/>
      <c r="AG154" s="540"/>
      <c r="AH154" s="540"/>
      <c r="AI154" s="65">
        <f t="shared" si="73"/>
        <v>0</v>
      </c>
      <c r="AJ154" s="51"/>
      <c r="AK154" s="540"/>
      <c r="AL154" s="540"/>
      <c r="AM154" s="65">
        <f t="shared" si="74"/>
        <v>0</v>
      </c>
      <c r="AN154" s="51"/>
      <c r="AO154" s="540"/>
      <c r="AP154" s="540"/>
      <c r="AQ154" s="65">
        <f t="shared" si="75"/>
        <v>0</v>
      </c>
      <c r="AR154" s="51"/>
      <c r="AS154" s="540"/>
      <c r="AT154" s="540"/>
      <c r="AU154" s="65">
        <f t="shared" si="76"/>
        <v>0</v>
      </c>
      <c r="AV154" s="51"/>
      <c r="AW154" s="540"/>
      <c r="AX154" s="540"/>
      <c r="AY154" s="65">
        <f t="shared" si="77"/>
        <v>0</v>
      </c>
      <c r="AZ154" s="51"/>
      <c r="BA154" s="53">
        <f t="shared" si="81"/>
        <v>0</v>
      </c>
      <c r="BB154" s="7">
        <f t="shared" si="82"/>
        <v>0</v>
      </c>
      <c r="BC154" s="65">
        <f t="shared" si="78"/>
        <v>0</v>
      </c>
    </row>
    <row r="155" spans="1:55" ht="15">
      <c r="A155" s="537" t="s">
        <v>263</v>
      </c>
      <c r="B155" s="551" t="s">
        <v>981</v>
      </c>
      <c r="C155" s="54"/>
      <c r="D155" s="49"/>
      <c r="E155" s="540"/>
      <c r="F155" s="540"/>
      <c r="G155" s="50">
        <f t="shared" si="66"/>
        <v>0</v>
      </c>
      <c r="H155" s="51"/>
      <c r="I155" s="540"/>
      <c r="J155" s="540"/>
      <c r="K155" s="65">
        <f t="shared" si="67"/>
        <v>0</v>
      </c>
      <c r="L155" s="51"/>
      <c r="M155" s="540"/>
      <c r="N155" s="540"/>
      <c r="O155" s="65">
        <f t="shared" si="68"/>
        <v>0</v>
      </c>
      <c r="P155" s="51"/>
      <c r="Q155" s="540"/>
      <c r="R155" s="540"/>
      <c r="S155" s="65">
        <f t="shared" si="69"/>
        <v>0</v>
      </c>
      <c r="T155" s="51"/>
      <c r="U155" s="540"/>
      <c r="V155" s="540"/>
      <c r="W155" s="65">
        <f t="shared" si="70"/>
        <v>0</v>
      </c>
      <c r="X155" s="51"/>
      <c r="Y155" s="540"/>
      <c r="Z155" s="540"/>
      <c r="AA155" s="65">
        <f t="shared" si="71"/>
        <v>0</v>
      </c>
      <c r="AB155" s="51"/>
      <c r="AC155" s="540"/>
      <c r="AD155" s="540"/>
      <c r="AE155" s="65">
        <f t="shared" si="72"/>
        <v>0</v>
      </c>
      <c r="AF155" s="51"/>
      <c r="AG155" s="540"/>
      <c r="AH155" s="540"/>
      <c r="AI155" s="65">
        <f t="shared" si="73"/>
        <v>0</v>
      </c>
      <c r="AJ155" s="51"/>
      <c r="AK155" s="540"/>
      <c r="AL155" s="540"/>
      <c r="AM155" s="65">
        <f t="shared" si="74"/>
        <v>0</v>
      </c>
      <c r="AN155" s="51"/>
      <c r="AO155" s="540"/>
      <c r="AP155" s="540"/>
      <c r="AQ155" s="65">
        <f t="shared" si="75"/>
        <v>0</v>
      </c>
      <c r="AR155" s="51"/>
      <c r="AS155" s="540"/>
      <c r="AT155" s="540"/>
      <c r="AU155" s="65">
        <f t="shared" si="76"/>
        <v>0</v>
      </c>
      <c r="AV155" s="51"/>
      <c r="AW155" s="540"/>
      <c r="AX155" s="540"/>
      <c r="AY155" s="65">
        <f t="shared" si="77"/>
        <v>0</v>
      </c>
      <c r="AZ155" s="51"/>
      <c r="BA155" s="53">
        <f t="shared" si="81"/>
        <v>0</v>
      </c>
      <c r="BB155" s="7">
        <f t="shared" si="82"/>
        <v>0</v>
      </c>
      <c r="BC155" s="65">
        <f t="shared" si="78"/>
        <v>0</v>
      </c>
    </row>
    <row r="156" spans="1:55" ht="15">
      <c r="A156" s="537" t="s">
        <v>264</v>
      </c>
      <c r="B156" s="551" t="s">
        <v>455</v>
      </c>
      <c r="C156" s="54"/>
      <c r="D156" s="49"/>
      <c r="E156" s="540">
        <v>600</v>
      </c>
      <c r="F156" s="540"/>
      <c r="G156" s="50">
        <f t="shared" si="66"/>
        <v>600</v>
      </c>
      <c r="H156" s="51"/>
      <c r="I156" s="540"/>
      <c r="J156" s="540"/>
      <c r="K156" s="65">
        <f t="shared" si="67"/>
        <v>600</v>
      </c>
      <c r="L156" s="51"/>
      <c r="M156" s="540"/>
      <c r="N156" s="540"/>
      <c r="O156" s="65">
        <f t="shared" si="68"/>
        <v>600</v>
      </c>
      <c r="P156" s="51"/>
      <c r="Q156" s="540"/>
      <c r="R156" s="540"/>
      <c r="S156" s="65">
        <f t="shared" si="69"/>
        <v>600</v>
      </c>
      <c r="T156" s="51"/>
      <c r="U156" s="540"/>
      <c r="V156" s="540"/>
      <c r="W156" s="65">
        <f t="shared" si="70"/>
        <v>600</v>
      </c>
      <c r="X156" s="51"/>
      <c r="Y156" s="540"/>
      <c r="Z156" s="540"/>
      <c r="AA156" s="65">
        <f t="shared" si="71"/>
        <v>600</v>
      </c>
      <c r="AB156" s="51"/>
      <c r="AC156" s="540"/>
      <c r="AD156" s="540"/>
      <c r="AE156" s="65">
        <f t="shared" si="72"/>
        <v>600</v>
      </c>
      <c r="AF156" s="51"/>
      <c r="AG156" s="540"/>
      <c r="AH156" s="540"/>
      <c r="AI156" s="65">
        <f t="shared" si="73"/>
        <v>600</v>
      </c>
      <c r="AJ156" s="51"/>
      <c r="AK156" s="540"/>
      <c r="AL156" s="540"/>
      <c r="AM156" s="65">
        <f t="shared" si="74"/>
        <v>600</v>
      </c>
      <c r="AN156" s="51"/>
      <c r="AO156" s="540"/>
      <c r="AP156" s="540"/>
      <c r="AQ156" s="65">
        <f t="shared" si="75"/>
        <v>600</v>
      </c>
      <c r="AR156" s="51"/>
      <c r="AS156" s="540"/>
      <c r="AT156" s="540"/>
      <c r="AU156" s="65">
        <f t="shared" si="76"/>
        <v>600</v>
      </c>
      <c r="AV156" s="51"/>
      <c r="AW156" s="540"/>
      <c r="AX156" s="540"/>
      <c r="AY156" s="65">
        <f t="shared" si="77"/>
        <v>600</v>
      </c>
      <c r="AZ156" s="51"/>
      <c r="BA156" s="53">
        <f t="shared" si="81"/>
        <v>600</v>
      </c>
      <c r="BB156" s="7">
        <f t="shared" si="82"/>
        <v>0</v>
      </c>
      <c r="BC156" s="65">
        <f t="shared" si="78"/>
        <v>600</v>
      </c>
    </row>
    <row r="157" spans="1:55" ht="14.25">
      <c r="A157" s="537" t="s">
        <v>265</v>
      </c>
      <c r="B157" s="551" t="s">
        <v>364</v>
      </c>
      <c r="C157" s="71"/>
      <c r="D157" s="49"/>
      <c r="E157" s="540"/>
      <c r="F157" s="540"/>
      <c r="G157" s="50">
        <f t="shared" si="66"/>
        <v>0</v>
      </c>
      <c r="H157" s="51"/>
      <c r="I157" s="540"/>
      <c r="J157" s="540"/>
      <c r="K157" s="65">
        <f t="shared" si="67"/>
        <v>0</v>
      </c>
      <c r="L157" s="51"/>
      <c r="M157" s="540"/>
      <c r="N157" s="540"/>
      <c r="O157" s="65">
        <f t="shared" si="68"/>
        <v>0</v>
      </c>
      <c r="P157" s="51"/>
      <c r="Q157" s="540"/>
      <c r="R157" s="540"/>
      <c r="S157" s="65">
        <f t="shared" si="69"/>
        <v>0</v>
      </c>
      <c r="T157" s="51"/>
      <c r="U157" s="540"/>
      <c r="V157" s="540"/>
      <c r="W157" s="65">
        <f t="shared" si="70"/>
        <v>0</v>
      </c>
      <c r="X157" s="51"/>
      <c r="Y157" s="540"/>
      <c r="Z157" s="540"/>
      <c r="AA157" s="65">
        <f t="shared" si="71"/>
        <v>0</v>
      </c>
      <c r="AB157" s="51"/>
      <c r="AC157" s="540"/>
      <c r="AD157" s="540"/>
      <c r="AE157" s="65">
        <f t="shared" si="72"/>
        <v>0</v>
      </c>
      <c r="AF157" s="51"/>
      <c r="AG157" s="540"/>
      <c r="AH157" s="540"/>
      <c r="AI157" s="65">
        <f t="shared" si="73"/>
        <v>0</v>
      </c>
      <c r="AJ157" s="51"/>
      <c r="AK157" s="540"/>
      <c r="AL157" s="540"/>
      <c r="AM157" s="65">
        <f t="shared" si="74"/>
        <v>0</v>
      </c>
      <c r="AN157" s="51"/>
      <c r="AO157" s="540"/>
      <c r="AP157" s="540"/>
      <c r="AQ157" s="65">
        <f t="shared" si="75"/>
        <v>0</v>
      </c>
      <c r="AR157" s="51"/>
      <c r="AS157" s="540"/>
      <c r="AT157" s="540"/>
      <c r="AU157" s="65">
        <f t="shared" si="76"/>
        <v>0</v>
      </c>
      <c r="AV157" s="51"/>
      <c r="AW157" s="540"/>
      <c r="AX157" s="540"/>
      <c r="AY157" s="65">
        <f t="shared" si="77"/>
        <v>0</v>
      </c>
      <c r="AZ157" s="51"/>
      <c r="BA157" s="53">
        <f t="shared" si="81"/>
        <v>0</v>
      </c>
      <c r="BB157" s="7">
        <f t="shared" si="82"/>
        <v>0</v>
      </c>
      <c r="BC157" s="65">
        <f t="shared" si="78"/>
        <v>0</v>
      </c>
    </row>
    <row r="158" spans="1:55" ht="14.25">
      <c r="A158" s="537" t="s">
        <v>266</v>
      </c>
      <c r="B158" s="551" t="s">
        <v>974</v>
      </c>
      <c r="C158" s="71"/>
      <c r="D158" s="49"/>
      <c r="E158" s="540">
        <v>5900</v>
      </c>
      <c r="F158" s="540"/>
      <c r="G158" s="50">
        <f t="shared" si="66"/>
        <v>5900</v>
      </c>
      <c r="H158" s="51"/>
      <c r="I158" s="540"/>
      <c r="J158" s="540"/>
      <c r="K158" s="65">
        <f t="shared" si="67"/>
        <v>5900</v>
      </c>
      <c r="L158" s="51"/>
      <c r="M158" s="540"/>
      <c r="N158" s="540"/>
      <c r="O158" s="65">
        <f t="shared" si="68"/>
        <v>5900</v>
      </c>
      <c r="P158" s="51"/>
      <c r="Q158" s="540"/>
      <c r="R158" s="540"/>
      <c r="S158" s="65">
        <f t="shared" si="69"/>
        <v>5900</v>
      </c>
      <c r="T158" s="51"/>
      <c r="U158" s="540"/>
      <c r="V158" s="540"/>
      <c r="W158" s="65">
        <f t="shared" si="70"/>
        <v>5900</v>
      </c>
      <c r="X158" s="51"/>
      <c r="Y158" s="540"/>
      <c r="Z158" s="540"/>
      <c r="AA158" s="65">
        <f t="shared" si="71"/>
        <v>5900</v>
      </c>
      <c r="AB158" s="51"/>
      <c r="AC158" s="540"/>
      <c r="AD158" s="540"/>
      <c r="AE158" s="65">
        <f t="shared" si="72"/>
        <v>5900</v>
      </c>
      <c r="AF158" s="51"/>
      <c r="AG158" s="540"/>
      <c r="AH158" s="540"/>
      <c r="AI158" s="65">
        <f t="shared" si="73"/>
        <v>5900</v>
      </c>
      <c r="AJ158" s="51"/>
      <c r="AK158" s="540"/>
      <c r="AL158" s="540"/>
      <c r="AM158" s="65">
        <f t="shared" si="74"/>
        <v>5900</v>
      </c>
      <c r="AN158" s="51"/>
      <c r="AO158" s="540"/>
      <c r="AP158" s="540"/>
      <c r="AQ158" s="65">
        <f t="shared" si="75"/>
        <v>5900</v>
      </c>
      <c r="AR158" s="51"/>
      <c r="AS158" s="540"/>
      <c r="AT158" s="540"/>
      <c r="AU158" s="65">
        <f t="shared" si="76"/>
        <v>5900</v>
      </c>
      <c r="AV158" s="51"/>
      <c r="AW158" s="540"/>
      <c r="AX158" s="540"/>
      <c r="AY158" s="65">
        <f t="shared" si="77"/>
        <v>5900</v>
      </c>
      <c r="AZ158" s="51"/>
      <c r="BA158" s="53">
        <f t="shared" si="81"/>
        <v>5900</v>
      </c>
      <c r="BB158" s="7">
        <f t="shared" si="82"/>
        <v>0</v>
      </c>
      <c r="BC158" s="65">
        <f t="shared" si="78"/>
        <v>5900</v>
      </c>
    </row>
    <row r="159" spans="1:55" ht="15">
      <c r="A159" s="537" t="s">
        <v>267</v>
      </c>
      <c r="B159" s="551" t="s">
        <v>972</v>
      </c>
      <c r="C159" s="54"/>
      <c r="D159" s="49"/>
      <c r="E159" s="540"/>
      <c r="F159" s="540"/>
      <c r="G159" s="50">
        <f t="shared" si="66"/>
        <v>0</v>
      </c>
      <c r="H159" s="51"/>
      <c r="I159" s="540"/>
      <c r="J159" s="540"/>
      <c r="K159" s="65">
        <f t="shared" si="67"/>
        <v>0</v>
      </c>
      <c r="L159" s="51"/>
      <c r="M159" s="540"/>
      <c r="N159" s="540"/>
      <c r="O159" s="65">
        <f t="shared" si="68"/>
        <v>0</v>
      </c>
      <c r="P159" s="51"/>
      <c r="Q159" s="540"/>
      <c r="R159" s="540"/>
      <c r="S159" s="65">
        <f t="shared" si="69"/>
        <v>0</v>
      </c>
      <c r="T159" s="51"/>
      <c r="U159" s="540"/>
      <c r="V159" s="540"/>
      <c r="W159" s="65">
        <f t="shared" si="70"/>
        <v>0</v>
      </c>
      <c r="X159" s="51"/>
      <c r="Y159" s="540"/>
      <c r="Z159" s="540"/>
      <c r="AA159" s="65">
        <f t="shared" si="71"/>
        <v>0</v>
      </c>
      <c r="AB159" s="51"/>
      <c r="AC159" s="540"/>
      <c r="AD159" s="540"/>
      <c r="AE159" s="65">
        <f t="shared" si="72"/>
        <v>0</v>
      </c>
      <c r="AF159" s="51"/>
      <c r="AG159" s="540"/>
      <c r="AH159" s="540"/>
      <c r="AI159" s="65">
        <f t="shared" si="73"/>
        <v>0</v>
      </c>
      <c r="AJ159" s="51"/>
      <c r="AK159" s="540"/>
      <c r="AL159" s="540"/>
      <c r="AM159" s="65">
        <f t="shared" si="74"/>
        <v>0</v>
      </c>
      <c r="AN159" s="51"/>
      <c r="AO159" s="540"/>
      <c r="AP159" s="540"/>
      <c r="AQ159" s="65">
        <f t="shared" si="75"/>
        <v>0</v>
      </c>
      <c r="AR159" s="51"/>
      <c r="AS159" s="540"/>
      <c r="AT159" s="540"/>
      <c r="AU159" s="65">
        <f t="shared" si="76"/>
        <v>0</v>
      </c>
      <c r="AV159" s="51"/>
      <c r="AW159" s="540"/>
      <c r="AX159" s="540"/>
      <c r="AY159" s="65">
        <f t="shared" si="77"/>
        <v>0</v>
      </c>
      <c r="AZ159" s="51"/>
      <c r="BA159" s="53">
        <f t="shared" si="81"/>
        <v>0</v>
      </c>
      <c r="BB159" s="7">
        <f t="shared" si="82"/>
        <v>0</v>
      </c>
      <c r="BC159" s="65">
        <f t="shared" si="78"/>
        <v>0</v>
      </c>
    </row>
    <row r="160" spans="1:55" ht="15">
      <c r="A160" s="537" t="s">
        <v>268</v>
      </c>
      <c r="B160" s="551" t="s">
        <v>977</v>
      </c>
      <c r="C160" s="54"/>
      <c r="D160" s="49"/>
      <c r="E160" s="540"/>
      <c r="F160" s="540"/>
      <c r="G160" s="50">
        <f t="shared" si="66"/>
        <v>0</v>
      </c>
      <c r="H160" s="51"/>
      <c r="I160" s="540"/>
      <c r="J160" s="540"/>
      <c r="K160" s="65">
        <f t="shared" si="67"/>
        <v>0</v>
      </c>
      <c r="L160" s="51"/>
      <c r="M160" s="540"/>
      <c r="N160" s="540"/>
      <c r="O160" s="65">
        <f t="shared" si="68"/>
        <v>0</v>
      </c>
      <c r="P160" s="51"/>
      <c r="Q160" s="540"/>
      <c r="R160" s="540"/>
      <c r="S160" s="65">
        <f t="shared" si="69"/>
        <v>0</v>
      </c>
      <c r="T160" s="51"/>
      <c r="U160" s="540"/>
      <c r="V160" s="540"/>
      <c r="W160" s="65">
        <f t="shared" si="70"/>
        <v>0</v>
      </c>
      <c r="X160" s="51"/>
      <c r="Y160" s="540"/>
      <c r="Z160" s="540"/>
      <c r="AA160" s="65">
        <f t="shared" si="71"/>
        <v>0</v>
      </c>
      <c r="AB160" s="51"/>
      <c r="AC160" s="540"/>
      <c r="AD160" s="540"/>
      <c r="AE160" s="65">
        <f t="shared" si="72"/>
        <v>0</v>
      </c>
      <c r="AF160" s="51"/>
      <c r="AG160" s="540"/>
      <c r="AH160" s="540"/>
      <c r="AI160" s="65">
        <f t="shared" si="73"/>
        <v>0</v>
      </c>
      <c r="AJ160" s="51"/>
      <c r="AK160" s="540"/>
      <c r="AL160" s="540"/>
      <c r="AM160" s="65">
        <f t="shared" si="74"/>
        <v>0</v>
      </c>
      <c r="AN160" s="51"/>
      <c r="AO160" s="540"/>
      <c r="AP160" s="540"/>
      <c r="AQ160" s="65">
        <f t="shared" si="75"/>
        <v>0</v>
      </c>
      <c r="AR160" s="51"/>
      <c r="AS160" s="540"/>
      <c r="AT160" s="540"/>
      <c r="AU160" s="65">
        <f t="shared" si="76"/>
        <v>0</v>
      </c>
      <c r="AV160" s="51"/>
      <c r="AW160" s="540"/>
      <c r="AX160" s="540"/>
      <c r="AY160" s="65">
        <f t="shared" si="77"/>
        <v>0</v>
      </c>
      <c r="AZ160" s="51"/>
      <c r="BA160" s="53">
        <f t="shared" si="81"/>
        <v>0</v>
      </c>
      <c r="BB160" s="7">
        <f t="shared" si="82"/>
        <v>0</v>
      </c>
      <c r="BC160" s="65">
        <f t="shared" si="78"/>
        <v>0</v>
      </c>
    </row>
    <row r="161" spans="1:55" ht="15">
      <c r="A161" s="537" t="s">
        <v>269</v>
      </c>
      <c r="B161" s="551" t="s">
        <v>975</v>
      </c>
      <c r="C161" s="54"/>
      <c r="D161" s="49"/>
      <c r="E161" s="540"/>
      <c r="F161" s="540"/>
      <c r="G161" s="50">
        <f t="shared" si="66"/>
        <v>0</v>
      </c>
      <c r="H161" s="51"/>
      <c r="I161" s="540"/>
      <c r="J161" s="540"/>
      <c r="K161" s="65">
        <f t="shared" si="67"/>
        <v>0</v>
      </c>
      <c r="L161" s="51"/>
      <c r="M161" s="540"/>
      <c r="N161" s="540"/>
      <c r="O161" s="65">
        <f t="shared" si="68"/>
        <v>0</v>
      </c>
      <c r="P161" s="51"/>
      <c r="Q161" s="540"/>
      <c r="R161" s="540"/>
      <c r="S161" s="65">
        <f t="shared" si="69"/>
        <v>0</v>
      </c>
      <c r="T161" s="51"/>
      <c r="U161" s="540"/>
      <c r="V161" s="540"/>
      <c r="W161" s="65">
        <f t="shared" si="70"/>
        <v>0</v>
      </c>
      <c r="X161" s="51"/>
      <c r="Y161" s="540"/>
      <c r="Z161" s="540"/>
      <c r="AA161" s="65">
        <f t="shared" si="71"/>
        <v>0</v>
      </c>
      <c r="AB161" s="51"/>
      <c r="AC161" s="540"/>
      <c r="AD161" s="540"/>
      <c r="AE161" s="65">
        <f t="shared" si="72"/>
        <v>0</v>
      </c>
      <c r="AF161" s="51"/>
      <c r="AG161" s="540"/>
      <c r="AH161" s="540"/>
      <c r="AI161" s="65">
        <f t="shared" si="73"/>
        <v>0</v>
      </c>
      <c r="AJ161" s="51"/>
      <c r="AK161" s="540"/>
      <c r="AL161" s="540"/>
      <c r="AM161" s="65">
        <f t="shared" si="74"/>
        <v>0</v>
      </c>
      <c r="AN161" s="51"/>
      <c r="AO161" s="540"/>
      <c r="AP161" s="540"/>
      <c r="AQ161" s="65">
        <f t="shared" si="75"/>
        <v>0</v>
      </c>
      <c r="AR161" s="51"/>
      <c r="AS161" s="540"/>
      <c r="AT161" s="540"/>
      <c r="AU161" s="65">
        <f t="shared" si="76"/>
        <v>0</v>
      </c>
      <c r="AV161" s="51"/>
      <c r="AW161" s="540"/>
      <c r="AX161" s="540"/>
      <c r="AY161" s="65">
        <f t="shared" si="77"/>
        <v>0</v>
      </c>
      <c r="AZ161" s="51"/>
      <c r="BA161" s="53">
        <f t="shared" si="81"/>
        <v>0</v>
      </c>
      <c r="BB161" s="7">
        <f t="shared" si="82"/>
        <v>0</v>
      </c>
      <c r="BC161" s="65">
        <f t="shared" si="78"/>
        <v>0</v>
      </c>
    </row>
    <row r="162" spans="1:55" ht="15">
      <c r="A162" s="537" t="s">
        <v>270</v>
      </c>
      <c r="B162" s="551" t="s">
        <v>979</v>
      </c>
      <c r="C162" s="54"/>
      <c r="D162" s="49"/>
      <c r="E162" s="540"/>
      <c r="F162" s="540"/>
      <c r="G162" s="50">
        <f t="shared" si="66"/>
        <v>0</v>
      </c>
      <c r="H162" s="51"/>
      <c r="I162" s="540"/>
      <c r="J162" s="540"/>
      <c r="K162" s="65">
        <f t="shared" si="67"/>
        <v>0</v>
      </c>
      <c r="L162" s="51"/>
      <c r="M162" s="540"/>
      <c r="N162" s="540"/>
      <c r="O162" s="65">
        <f t="shared" si="68"/>
        <v>0</v>
      </c>
      <c r="P162" s="51"/>
      <c r="Q162" s="540"/>
      <c r="R162" s="540"/>
      <c r="S162" s="65">
        <f t="shared" si="69"/>
        <v>0</v>
      </c>
      <c r="T162" s="51"/>
      <c r="U162" s="540"/>
      <c r="V162" s="540"/>
      <c r="W162" s="65">
        <f t="shared" si="70"/>
        <v>0</v>
      </c>
      <c r="X162" s="51"/>
      <c r="Y162" s="540"/>
      <c r="Z162" s="540"/>
      <c r="AA162" s="65">
        <f t="shared" si="71"/>
        <v>0</v>
      </c>
      <c r="AB162" s="51"/>
      <c r="AC162" s="540"/>
      <c r="AD162" s="540"/>
      <c r="AE162" s="65">
        <f t="shared" si="72"/>
        <v>0</v>
      </c>
      <c r="AF162" s="51"/>
      <c r="AG162" s="540"/>
      <c r="AH162" s="540"/>
      <c r="AI162" s="65">
        <f t="shared" si="73"/>
        <v>0</v>
      </c>
      <c r="AJ162" s="51"/>
      <c r="AK162" s="540"/>
      <c r="AL162" s="540"/>
      <c r="AM162" s="65">
        <f t="shared" si="74"/>
        <v>0</v>
      </c>
      <c r="AN162" s="51"/>
      <c r="AO162" s="540"/>
      <c r="AP162" s="540"/>
      <c r="AQ162" s="65">
        <f t="shared" si="75"/>
        <v>0</v>
      </c>
      <c r="AR162" s="51"/>
      <c r="AS162" s="540"/>
      <c r="AT162" s="540"/>
      <c r="AU162" s="65">
        <f t="shared" si="76"/>
        <v>0</v>
      </c>
      <c r="AV162" s="51"/>
      <c r="AW162" s="540"/>
      <c r="AX162" s="540"/>
      <c r="AY162" s="65">
        <f t="shared" si="77"/>
        <v>0</v>
      </c>
      <c r="AZ162" s="51"/>
      <c r="BA162" s="53">
        <f t="shared" si="81"/>
        <v>0</v>
      </c>
      <c r="BB162" s="7">
        <f t="shared" si="82"/>
        <v>0</v>
      </c>
      <c r="BC162" s="65">
        <f t="shared" si="78"/>
        <v>0</v>
      </c>
    </row>
    <row r="163" spans="1:55" ht="15">
      <c r="A163" s="537" t="s">
        <v>271</v>
      </c>
      <c r="B163" s="551" t="s">
        <v>452</v>
      </c>
      <c r="C163" s="54"/>
      <c r="D163" s="49"/>
      <c r="E163" s="540"/>
      <c r="F163" s="540"/>
      <c r="G163" s="50">
        <f t="shared" si="66"/>
        <v>0</v>
      </c>
      <c r="H163" s="51"/>
      <c r="I163" s="540"/>
      <c r="J163" s="540"/>
      <c r="K163" s="65">
        <f t="shared" si="67"/>
        <v>0</v>
      </c>
      <c r="L163" s="51"/>
      <c r="M163" s="540"/>
      <c r="N163" s="540"/>
      <c r="O163" s="65">
        <f t="shared" si="68"/>
        <v>0</v>
      </c>
      <c r="P163" s="51"/>
      <c r="Q163" s="540"/>
      <c r="R163" s="540"/>
      <c r="S163" s="65">
        <f t="shared" si="69"/>
        <v>0</v>
      </c>
      <c r="T163" s="51"/>
      <c r="U163" s="540"/>
      <c r="V163" s="540"/>
      <c r="W163" s="65">
        <f t="shared" si="70"/>
        <v>0</v>
      </c>
      <c r="X163" s="51"/>
      <c r="Y163" s="540"/>
      <c r="Z163" s="540"/>
      <c r="AA163" s="65">
        <f t="shared" si="71"/>
        <v>0</v>
      </c>
      <c r="AB163" s="51"/>
      <c r="AC163" s="540"/>
      <c r="AD163" s="540"/>
      <c r="AE163" s="65">
        <f t="shared" si="72"/>
        <v>0</v>
      </c>
      <c r="AF163" s="51"/>
      <c r="AG163" s="540"/>
      <c r="AH163" s="540"/>
      <c r="AI163" s="65">
        <f t="shared" si="73"/>
        <v>0</v>
      </c>
      <c r="AJ163" s="51"/>
      <c r="AK163" s="540"/>
      <c r="AL163" s="540"/>
      <c r="AM163" s="65">
        <f t="shared" si="74"/>
        <v>0</v>
      </c>
      <c r="AN163" s="51"/>
      <c r="AO163" s="540"/>
      <c r="AP163" s="540"/>
      <c r="AQ163" s="65">
        <f t="shared" si="75"/>
        <v>0</v>
      </c>
      <c r="AR163" s="51"/>
      <c r="AS163" s="540"/>
      <c r="AT163" s="540"/>
      <c r="AU163" s="65">
        <f t="shared" si="76"/>
        <v>0</v>
      </c>
      <c r="AV163" s="51"/>
      <c r="AW163" s="540"/>
      <c r="AX163" s="540"/>
      <c r="AY163" s="65">
        <f t="shared" si="77"/>
        <v>0</v>
      </c>
      <c r="AZ163" s="51"/>
      <c r="BA163" s="53">
        <f t="shared" si="81"/>
        <v>0</v>
      </c>
      <c r="BB163" s="7">
        <f t="shared" si="82"/>
        <v>0</v>
      </c>
      <c r="BC163" s="65">
        <f t="shared" si="78"/>
        <v>0</v>
      </c>
    </row>
    <row r="164" spans="1:55" ht="15">
      <c r="A164" s="537" t="s">
        <v>272</v>
      </c>
      <c r="B164" s="551" t="s">
        <v>966</v>
      </c>
      <c r="C164" s="54"/>
      <c r="D164" s="49"/>
      <c r="E164" s="540"/>
      <c r="F164" s="540"/>
      <c r="G164" s="50">
        <f t="shared" si="66"/>
        <v>0</v>
      </c>
      <c r="H164" s="51"/>
      <c r="I164" s="540"/>
      <c r="J164" s="540"/>
      <c r="K164" s="65">
        <f t="shared" si="67"/>
        <v>0</v>
      </c>
      <c r="L164" s="51"/>
      <c r="M164" s="540"/>
      <c r="N164" s="540"/>
      <c r="O164" s="65">
        <f t="shared" si="68"/>
        <v>0</v>
      </c>
      <c r="P164" s="51"/>
      <c r="Q164" s="540"/>
      <c r="R164" s="540"/>
      <c r="S164" s="65">
        <f t="shared" si="69"/>
        <v>0</v>
      </c>
      <c r="T164" s="51"/>
      <c r="U164" s="540"/>
      <c r="V164" s="540"/>
      <c r="W164" s="65">
        <f t="shared" si="70"/>
        <v>0</v>
      </c>
      <c r="X164" s="51"/>
      <c r="Y164" s="540"/>
      <c r="Z164" s="540"/>
      <c r="AA164" s="65">
        <f t="shared" si="71"/>
        <v>0</v>
      </c>
      <c r="AB164" s="51"/>
      <c r="AC164" s="540"/>
      <c r="AD164" s="540"/>
      <c r="AE164" s="65">
        <f t="shared" si="72"/>
        <v>0</v>
      </c>
      <c r="AF164" s="51"/>
      <c r="AG164" s="540"/>
      <c r="AH164" s="540"/>
      <c r="AI164" s="65">
        <f t="shared" si="73"/>
        <v>0</v>
      </c>
      <c r="AJ164" s="51"/>
      <c r="AK164" s="540"/>
      <c r="AL164" s="540"/>
      <c r="AM164" s="65">
        <f t="shared" si="74"/>
        <v>0</v>
      </c>
      <c r="AN164" s="51"/>
      <c r="AO164" s="540"/>
      <c r="AP164" s="540"/>
      <c r="AQ164" s="65">
        <f t="shared" si="75"/>
        <v>0</v>
      </c>
      <c r="AR164" s="51"/>
      <c r="AS164" s="540"/>
      <c r="AT164" s="540"/>
      <c r="AU164" s="65">
        <f t="shared" si="76"/>
        <v>0</v>
      </c>
      <c r="AV164" s="51"/>
      <c r="AW164" s="540"/>
      <c r="AX164" s="540"/>
      <c r="AY164" s="65">
        <f t="shared" si="77"/>
        <v>0</v>
      </c>
      <c r="AZ164" s="51"/>
      <c r="BA164" s="53">
        <f t="shared" si="81"/>
        <v>0</v>
      </c>
      <c r="BB164" s="7">
        <f t="shared" si="82"/>
        <v>0</v>
      </c>
      <c r="BC164" s="65">
        <f t="shared" si="78"/>
        <v>0</v>
      </c>
    </row>
    <row r="165" spans="1:55" ht="14.25">
      <c r="A165" s="537" t="s">
        <v>273</v>
      </c>
      <c r="B165" s="551" t="s">
        <v>971</v>
      </c>
      <c r="C165" s="71"/>
      <c r="D165" s="49"/>
      <c r="E165" s="540"/>
      <c r="F165" s="540"/>
      <c r="G165" s="50">
        <f t="shared" si="66"/>
        <v>0</v>
      </c>
      <c r="H165" s="51"/>
      <c r="I165" s="540"/>
      <c r="J165" s="540"/>
      <c r="K165" s="65">
        <f t="shared" si="67"/>
        <v>0</v>
      </c>
      <c r="L165" s="51"/>
      <c r="M165" s="540"/>
      <c r="N165" s="540"/>
      <c r="O165" s="65">
        <f t="shared" si="68"/>
        <v>0</v>
      </c>
      <c r="P165" s="51"/>
      <c r="Q165" s="540"/>
      <c r="R165" s="540"/>
      <c r="S165" s="65">
        <f t="shared" si="69"/>
        <v>0</v>
      </c>
      <c r="T165" s="51"/>
      <c r="U165" s="540"/>
      <c r="V165" s="540"/>
      <c r="W165" s="65">
        <f t="shared" si="70"/>
        <v>0</v>
      </c>
      <c r="X165" s="51"/>
      <c r="Y165" s="540"/>
      <c r="Z165" s="540"/>
      <c r="AA165" s="65">
        <f t="shared" si="71"/>
        <v>0</v>
      </c>
      <c r="AB165" s="51"/>
      <c r="AC165" s="540"/>
      <c r="AD165" s="540"/>
      <c r="AE165" s="65">
        <f t="shared" si="72"/>
        <v>0</v>
      </c>
      <c r="AF165" s="51"/>
      <c r="AG165" s="540"/>
      <c r="AH165" s="540"/>
      <c r="AI165" s="65">
        <f t="shared" si="73"/>
        <v>0</v>
      </c>
      <c r="AJ165" s="51"/>
      <c r="AK165" s="540"/>
      <c r="AL165" s="540"/>
      <c r="AM165" s="65">
        <f t="shared" si="74"/>
        <v>0</v>
      </c>
      <c r="AN165" s="51"/>
      <c r="AO165" s="540"/>
      <c r="AP165" s="540"/>
      <c r="AQ165" s="65">
        <f t="shared" si="75"/>
        <v>0</v>
      </c>
      <c r="AR165" s="51"/>
      <c r="AS165" s="540"/>
      <c r="AT165" s="540"/>
      <c r="AU165" s="65">
        <f t="shared" si="76"/>
        <v>0</v>
      </c>
      <c r="AV165" s="51"/>
      <c r="AW165" s="540"/>
      <c r="AX165" s="540"/>
      <c r="AY165" s="65">
        <f t="shared" si="77"/>
        <v>0</v>
      </c>
      <c r="AZ165" s="51"/>
      <c r="BA165" s="53">
        <f t="shared" si="81"/>
        <v>0</v>
      </c>
      <c r="BB165" s="7">
        <f t="shared" si="82"/>
        <v>0</v>
      </c>
      <c r="BC165" s="65">
        <f t="shared" si="78"/>
        <v>0</v>
      </c>
    </row>
    <row r="166" spans="1:55" ht="14.25">
      <c r="A166" s="537" t="s">
        <v>274</v>
      </c>
      <c r="B166" s="551" t="s">
        <v>356</v>
      </c>
      <c r="C166" s="71"/>
      <c r="D166" s="49"/>
      <c r="E166" s="540"/>
      <c r="F166" s="540"/>
      <c r="G166" s="50">
        <f t="shared" si="66"/>
        <v>0</v>
      </c>
      <c r="H166" s="51"/>
      <c r="I166" s="540"/>
      <c r="J166" s="540"/>
      <c r="K166" s="65">
        <f t="shared" si="67"/>
        <v>0</v>
      </c>
      <c r="L166" s="51"/>
      <c r="M166" s="540"/>
      <c r="N166" s="540"/>
      <c r="O166" s="65">
        <f t="shared" si="68"/>
        <v>0</v>
      </c>
      <c r="P166" s="51"/>
      <c r="Q166" s="540"/>
      <c r="R166" s="540"/>
      <c r="S166" s="65">
        <f t="shared" si="69"/>
        <v>0</v>
      </c>
      <c r="T166" s="51"/>
      <c r="U166" s="540"/>
      <c r="V166" s="540"/>
      <c r="W166" s="65">
        <f t="shared" si="70"/>
        <v>0</v>
      </c>
      <c r="X166" s="51"/>
      <c r="Y166" s="540"/>
      <c r="Z166" s="540"/>
      <c r="AA166" s="65">
        <f t="shared" si="71"/>
        <v>0</v>
      </c>
      <c r="AB166" s="51"/>
      <c r="AC166" s="540"/>
      <c r="AD166" s="540"/>
      <c r="AE166" s="65">
        <f t="shared" si="72"/>
        <v>0</v>
      </c>
      <c r="AF166" s="51"/>
      <c r="AG166" s="540"/>
      <c r="AH166" s="540"/>
      <c r="AI166" s="65">
        <f t="shared" si="73"/>
        <v>0</v>
      </c>
      <c r="AJ166" s="51"/>
      <c r="AK166" s="540"/>
      <c r="AL166" s="540"/>
      <c r="AM166" s="65">
        <f t="shared" si="74"/>
        <v>0</v>
      </c>
      <c r="AN166" s="51"/>
      <c r="AO166" s="540"/>
      <c r="AP166" s="540"/>
      <c r="AQ166" s="65">
        <f t="shared" si="75"/>
        <v>0</v>
      </c>
      <c r="AR166" s="51"/>
      <c r="AS166" s="540"/>
      <c r="AT166" s="540"/>
      <c r="AU166" s="65">
        <f t="shared" si="76"/>
        <v>0</v>
      </c>
      <c r="AV166" s="51"/>
      <c r="AW166" s="540"/>
      <c r="AX166" s="540"/>
      <c r="AY166" s="65">
        <f t="shared" si="77"/>
        <v>0</v>
      </c>
      <c r="AZ166" s="51"/>
      <c r="BA166" s="53">
        <f>E166+I166+M166+Q166+U166+Y166+AC166+AG166+AK166+AO166+AS166+AW166</f>
        <v>0</v>
      </c>
      <c r="BB166" s="7">
        <f>F166+J166+N166+R166+V166+Z166+AD166+AH166+AL166+AP166+AT166+AX166</f>
        <v>0</v>
      </c>
      <c r="BC166" s="65">
        <f>D166+BA166-BB166</f>
        <v>0</v>
      </c>
    </row>
    <row r="167" spans="1:55" ht="14.25">
      <c r="A167" s="537" t="s">
        <v>368</v>
      </c>
      <c r="B167" s="640" t="s">
        <v>365</v>
      </c>
      <c r="C167" s="71"/>
      <c r="D167" s="49"/>
      <c r="E167" s="540"/>
      <c r="F167" s="540"/>
      <c r="G167" s="50">
        <f t="shared" si="66"/>
        <v>0</v>
      </c>
      <c r="H167" s="51"/>
      <c r="I167" s="540"/>
      <c r="J167" s="540"/>
      <c r="K167" s="65">
        <f t="shared" si="67"/>
        <v>0</v>
      </c>
      <c r="L167" s="51"/>
      <c r="M167" s="540"/>
      <c r="N167" s="540"/>
      <c r="O167" s="65">
        <f t="shared" si="68"/>
        <v>0</v>
      </c>
      <c r="P167" s="51"/>
      <c r="Q167" s="540"/>
      <c r="R167" s="540"/>
      <c r="S167" s="65">
        <f t="shared" si="69"/>
        <v>0</v>
      </c>
      <c r="T167" s="51"/>
      <c r="U167" s="540"/>
      <c r="V167" s="540"/>
      <c r="W167" s="65">
        <f t="shared" si="70"/>
        <v>0</v>
      </c>
      <c r="X167" s="51"/>
      <c r="Y167" s="540"/>
      <c r="Z167" s="540"/>
      <c r="AA167" s="65">
        <f t="shared" si="71"/>
        <v>0</v>
      </c>
      <c r="AB167" s="51"/>
      <c r="AC167" s="540"/>
      <c r="AD167" s="540"/>
      <c r="AE167" s="65">
        <f t="shared" si="72"/>
        <v>0</v>
      </c>
      <c r="AF167" s="51"/>
      <c r="AG167" s="540"/>
      <c r="AH167" s="540"/>
      <c r="AI167" s="65">
        <f t="shared" si="73"/>
        <v>0</v>
      </c>
      <c r="AJ167" s="51"/>
      <c r="AK167" s="540"/>
      <c r="AL167" s="540"/>
      <c r="AM167" s="65">
        <f t="shared" si="74"/>
        <v>0</v>
      </c>
      <c r="AN167" s="51"/>
      <c r="AO167" s="540"/>
      <c r="AP167" s="540"/>
      <c r="AQ167" s="65">
        <f t="shared" si="75"/>
        <v>0</v>
      </c>
      <c r="AR167" s="51"/>
      <c r="AS167" s="540"/>
      <c r="AT167" s="540"/>
      <c r="AU167" s="65">
        <f t="shared" si="76"/>
        <v>0</v>
      </c>
      <c r="AV167" s="51"/>
      <c r="AW167" s="540"/>
      <c r="AX167" s="540"/>
      <c r="AY167" s="65">
        <f t="shared" si="77"/>
        <v>0</v>
      </c>
      <c r="AZ167" s="51"/>
      <c r="BA167" s="53">
        <f t="shared" si="81"/>
        <v>0</v>
      </c>
      <c r="BB167" s="7">
        <f t="shared" si="82"/>
        <v>0</v>
      </c>
      <c r="BC167" s="65">
        <f t="shared" si="78"/>
        <v>0</v>
      </c>
    </row>
    <row r="168" spans="1:55" ht="14.25">
      <c r="A168" s="543" t="s">
        <v>909</v>
      </c>
      <c r="B168" s="681" t="s">
        <v>718</v>
      </c>
      <c r="C168" s="635"/>
      <c r="D168" s="61">
        <f>SUM(D169:D171)</f>
        <v>0</v>
      </c>
      <c r="E168" s="62">
        <f>SUM(E169:E171)</f>
        <v>1200</v>
      </c>
      <c r="F168" s="62">
        <f>SUM(F169:F171)</f>
        <v>0</v>
      </c>
      <c r="G168" s="63">
        <f>SUM(G169:G171)</f>
        <v>1200</v>
      </c>
      <c r="H168" s="51"/>
      <c r="I168" s="62">
        <f>SUM(I169:I171)</f>
        <v>0</v>
      </c>
      <c r="J168" s="62">
        <f>SUM(J169:J171)</f>
        <v>0</v>
      </c>
      <c r="K168" s="63">
        <f>SUM(K169:K171)</f>
        <v>1200</v>
      </c>
      <c r="L168" s="51"/>
      <c r="M168" s="62">
        <f>SUM(M169:M171)</f>
        <v>0</v>
      </c>
      <c r="N168" s="62">
        <f>SUM(N169:N171)</f>
        <v>0</v>
      </c>
      <c r="O168" s="63">
        <f>SUM(O169:O171)</f>
        <v>1200</v>
      </c>
      <c r="P168" s="51"/>
      <c r="Q168" s="62">
        <f>SUM(Q169:Q171)</f>
        <v>0</v>
      </c>
      <c r="R168" s="62">
        <f>SUM(R169:R171)</f>
        <v>0</v>
      </c>
      <c r="S168" s="63">
        <f>SUM(S169:S171)</f>
        <v>1200</v>
      </c>
      <c r="T168" s="51"/>
      <c r="U168" s="62">
        <f>SUM(U169:U171)</f>
        <v>0</v>
      </c>
      <c r="V168" s="62">
        <f>SUM(V169:V171)</f>
        <v>0</v>
      </c>
      <c r="W168" s="63">
        <f>SUM(W169:W171)</f>
        <v>1200</v>
      </c>
      <c r="X168" s="51"/>
      <c r="Y168" s="62">
        <f>SUM(Y169:Y171)</f>
        <v>0</v>
      </c>
      <c r="Z168" s="62">
        <f>SUM(Z169:Z171)</f>
        <v>0</v>
      </c>
      <c r="AA168" s="63">
        <f>SUM(AA169:AA171)</f>
        <v>1200</v>
      </c>
      <c r="AB168" s="51"/>
      <c r="AC168" s="62">
        <f>SUM(AC169:AC171)</f>
        <v>0</v>
      </c>
      <c r="AD168" s="62">
        <f>SUM(AD169:AD171)</f>
        <v>0</v>
      </c>
      <c r="AE168" s="63">
        <f>SUM(AE169:AE171)</f>
        <v>1200</v>
      </c>
      <c r="AF168" s="51"/>
      <c r="AG168" s="62">
        <f>SUM(AG169:AG171)</f>
        <v>0</v>
      </c>
      <c r="AH168" s="62">
        <f>SUM(AH169:AH171)</f>
        <v>0</v>
      </c>
      <c r="AI168" s="63">
        <f>SUM(AI169:AI171)</f>
        <v>1200</v>
      </c>
      <c r="AJ168" s="51"/>
      <c r="AK168" s="62">
        <f>SUM(AK169:AK171)</f>
        <v>0</v>
      </c>
      <c r="AL168" s="62">
        <f>SUM(AL169:AL171)</f>
        <v>0</v>
      </c>
      <c r="AM168" s="63">
        <f>SUM(AM169:AM171)</f>
        <v>1200</v>
      </c>
      <c r="AN168" s="51"/>
      <c r="AO168" s="62">
        <f>SUM(AO169:AO171)</f>
        <v>0</v>
      </c>
      <c r="AP168" s="62">
        <f>SUM(AP169:AP171)</f>
        <v>0</v>
      </c>
      <c r="AQ168" s="63">
        <f>SUM(AQ169:AQ171)</f>
        <v>1200</v>
      </c>
      <c r="AR168" s="51"/>
      <c r="AS168" s="62">
        <f>SUM(AS169:AS171)</f>
        <v>0</v>
      </c>
      <c r="AT168" s="62">
        <f>SUM(AT169:AT171)</f>
        <v>0</v>
      </c>
      <c r="AU168" s="63">
        <f>SUM(AU169:AU171)</f>
        <v>1200</v>
      </c>
      <c r="AV168" s="51"/>
      <c r="AW168" s="62">
        <f>SUM(AW169:AW171)</f>
        <v>0</v>
      </c>
      <c r="AX168" s="62">
        <f>SUM(AX169:AX171)</f>
        <v>0</v>
      </c>
      <c r="AY168" s="63">
        <f>SUM(AY169:AY171)</f>
        <v>1200</v>
      </c>
      <c r="AZ168" s="51"/>
      <c r="BA168" s="545">
        <f>SUM(BA169:BA171)</f>
        <v>1200</v>
      </c>
      <c r="BB168" s="62">
        <f>SUM(BB169:BB171)</f>
        <v>0</v>
      </c>
      <c r="BC168" s="63">
        <f>SUM(BC169:BC171)</f>
        <v>1200</v>
      </c>
    </row>
    <row r="169" spans="1:55" ht="14.25">
      <c r="A169" s="537" t="s">
        <v>275</v>
      </c>
      <c r="B169" s="682" t="s">
        <v>711</v>
      </c>
      <c r="C169" s="71"/>
      <c r="D169" s="49"/>
      <c r="E169" s="7">
        <v>1200</v>
      </c>
      <c r="F169" s="540"/>
      <c r="G169" s="50">
        <f t="shared" si="66"/>
        <v>1200</v>
      </c>
      <c r="H169" s="51"/>
      <c r="I169" s="7"/>
      <c r="J169" s="540"/>
      <c r="K169" s="65">
        <f t="shared" si="67"/>
        <v>1200</v>
      </c>
      <c r="L169" s="51"/>
      <c r="M169" s="7"/>
      <c r="N169" s="540"/>
      <c r="O169" s="65">
        <f t="shared" si="68"/>
        <v>1200</v>
      </c>
      <c r="P169" s="51"/>
      <c r="Q169" s="7"/>
      <c r="R169" s="540"/>
      <c r="S169" s="65">
        <f t="shared" si="69"/>
        <v>1200</v>
      </c>
      <c r="T169" s="51"/>
      <c r="U169" s="7"/>
      <c r="V169" s="540"/>
      <c r="W169" s="65">
        <f t="shared" si="70"/>
        <v>1200</v>
      </c>
      <c r="X169" s="51"/>
      <c r="Y169" s="7"/>
      <c r="Z169" s="540"/>
      <c r="AA169" s="65">
        <f t="shared" si="71"/>
        <v>1200</v>
      </c>
      <c r="AB169" s="51"/>
      <c r="AC169" s="7"/>
      <c r="AD169" s="540"/>
      <c r="AE169" s="65">
        <f t="shared" si="72"/>
        <v>1200</v>
      </c>
      <c r="AF169" s="51"/>
      <c r="AG169" s="7"/>
      <c r="AH169" s="540"/>
      <c r="AI169" s="65">
        <f t="shared" si="73"/>
        <v>1200</v>
      </c>
      <c r="AJ169" s="51"/>
      <c r="AK169" s="7"/>
      <c r="AL169" s="540"/>
      <c r="AM169" s="65">
        <f t="shared" si="74"/>
        <v>1200</v>
      </c>
      <c r="AN169" s="51"/>
      <c r="AO169" s="7"/>
      <c r="AP169" s="540"/>
      <c r="AQ169" s="65">
        <f t="shared" si="75"/>
        <v>1200</v>
      </c>
      <c r="AR169" s="51"/>
      <c r="AS169" s="7"/>
      <c r="AT169" s="540"/>
      <c r="AU169" s="65">
        <f t="shared" si="76"/>
        <v>1200</v>
      </c>
      <c r="AV169" s="51"/>
      <c r="AW169" s="7"/>
      <c r="AX169" s="540"/>
      <c r="AY169" s="65">
        <f t="shared" si="77"/>
        <v>1200</v>
      </c>
      <c r="AZ169" s="51"/>
      <c r="BA169" s="53">
        <f t="shared" si="81"/>
        <v>1200</v>
      </c>
      <c r="BB169" s="7">
        <f t="shared" si="82"/>
        <v>0</v>
      </c>
      <c r="BC169" s="65">
        <f t="shared" si="78"/>
        <v>1200</v>
      </c>
    </row>
    <row r="170" spans="1:55" ht="14.25">
      <c r="A170" s="537" t="s">
        <v>276</v>
      </c>
      <c r="B170" s="682" t="s">
        <v>712</v>
      </c>
      <c r="C170" s="71"/>
      <c r="D170" s="49"/>
      <c r="E170" s="7"/>
      <c r="F170" s="540"/>
      <c r="G170" s="50">
        <f t="shared" si="66"/>
        <v>0</v>
      </c>
      <c r="H170" s="51"/>
      <c r="I170" s="7"/>
      <c r="J170" s="540"/>
      <c r="K170" s="65">
        <f t="shared" si="67"/>
        <v>0</v>
      </c>
      <c r="L170" s="51"/>
      <c r="M170" s="7"/>
      <c r="N170" s="540"/>
      <c r="O170" s="65">
        <f t="shared" si="68"/>
        <v>0</v>
      </c>
      <c r="P170" s="51"/>
      <c r="Q170" s="7"/>
      <c r="R170" s="540"/>
      <c r="S170" s="65">
        <f t="shared" si="69"/>
        <v>0</v>
      </c>
      <c r="T170" s="51"/>
      <c r="U170" s="7"/>
      <c r="V170" s="540"/>
      <c r="W170" s="65">
        <f t="shared" si="70"/>
        <v>0</v>
      </c>
      <c r="X170" s="51"/>
      <c r="Y170" s="7"/>
      <c r="Z170" s="540"/>
      <c r="AA170" s="65">
        <f t="shared" si="71"/>
        <v>0</v>
      </c>
      <c r="AB170" s="51"/>
      <c r="AC170" s="7"/>
      <c r="AD170" s="540"/>
      <c r="AE170" s="65">
        <f t="shared" si="72"/>
        <v>0</v>
      </c>
      <c r="AF170" s="51"/>
      <c r="AG170" s="7"/>
      <c r="AH170" s="540"/>
      <c r="AI170" s="65">
        <f t="shared" si="73"/>
        <v>0</v>
      </c>
      <c r="AJ170" s="51"/>
      <c r="AK170" s="7"/>
      <c r="AL170" s="540"/>
      <c r="AM170" s="65">
        <f t="shared" si="74"/>
        <v>0</v>
      </c>
      <c r="AN170" s="51"/>
      <c r="AO170" s="7"/>
      <c r="AP170" s="540"/>
      <c r="AQ170" s="65">
        <f t="shared" si="75"/>
        <v>0</v>
      </c>
      <c r="AR170" s="51"/>
      <c r="AS170" s="7"/>
      <c r="AT170" s="540"/>
      <c r="AU170" s="65">
        <f t="shared" si="76"/>
        <v>0</v>
      </c>
      <c r="AV170" s="51"/>
      <c r="AW170" s="7"/>
      <c r="AX170" s="540"/>
      <c r="AY170" s="65">
        <f t="shared" si="77"/>
        <v>0</v>
      </c>
      <c r="AZ170" s="51"/>
      <c r="BA170" s="53">
        <f>E170+I170+M170+Q170+U170+Y170+AC170+AG170+AK170+AO170+AS170+AW170</f>
        <v>0</v>
      </c>
      <c r="BB170" s="7">
        <f>F170+J170+N170+R170+V170+Z170+AD170+AH170+AL170+AP170+AT170+AX170</f>
        <v>0</v>
      </c>
      <c r="BC170" s="65">
        <f>D170+BA170-BB170</f>
        <v>0</v>
      </c>
    </row>
    <row r="171" spans="1:55" ht="14.25">
      <c r="A171" s="537" t="s">
        <v>366</v>
      </c>
      <c r="B171" s="682" t="s">
        <v>1019</v>
      </c>
      <c r="C171" s="71"/>
      <c r="D171" s="49"/>
      <c r="E171" s="7"/>
      <c r="F171" s="540"/>
      <c r="G171" s="50">
        <f t="shared" si="66"/>
        <v>0</v>
      </c>
      <c r="H171" s="51"/>
      <c r="I171" s="7"/>
      <c r="J171" s="540"/>
      <c r="K171" s="65">
        <f t="shared" si="67"/>
        <v>0</v>
      </c>
      <c r="L171" s="51"/>
      <c r="M171" s="7"/>
      <c r="N171" s="540"/>
      <c r="O171" s="65">
        <f t="shared" si="68"/>
        <v>0</v>
      </c>
      <c r="P171" s="51"/>
      <c r="Q171" s="7"/>
      <c r="R171" s="540"/>
      <c r="S171" s="65">
        <f t="shared" si="69"/>
        <v>0</v>
      </c>
      <c r="T171" s="51"/>
      <c r="U171" s="7"/>
      <c r="V171" s="540"/>
      <c r="W171" s="65">
        <f t="shared" si="70"/>
        <v>0</v>
      </c>
      <c r="X171" s="51"/>
      <c r="Y171" s="7"/>
      <c r="Z171" s="540"/>
      <c r="AA171" s="65">
        <f t="shared" si="71"/>
        <v>0</v>
      </c>
      <c r="AB171" s="51"/>
      <c r="AC171" s="7"/>
      <c r="AD171" s="540"/>
      <c r="AE171" s="65">
        <f t="shared" si="72"/>
        <v>0</v>
      </c>
      <c r="AF171" s="51"/>
      <c r="AG171" s="7"/>
      <c r="AH171" s="540"/>
      <c r="AI171" s="65">
        <f t="shared" si="73"/>
        <v>0</v>
      </c>
      <c r="AJ171" s="51"/>
      <c r="AK171" s="7"/>
      <c r="AL171" s="540"/>
      <c r="AM171" s="65">
        <f t="shared" si="74"/>
        <v>0</v>
      </c>
      <c r="AN171" s="51"/>
      <c r="AO171" s="7"/>
      <c r="AP171" s="540"/>
      <c r="AQ171" s="65">
        <f t="shared" si="75"/>
        <v>0</v>
      </c>
      <c r="AR171" s="51"/>
      <c r="AS171" s="7"/>
      <c r="AT171" s="540"/>
      <c r="AU171" s="65">
        <f t="shared" si="76"/>
        <v>0</v>
      </c>
      <c r="AV171" s="51"/>
      <c r="AW171" s="7"/>
      <c r="AX171" s="540"/>
      <c r="AY171" s="65">
        <f t="shared" si="77"/>
        <v>0</v>
      </c>
      <c r="AZ171" s="51"/>
      <c r="BA171" s="53">
        <f t="shared" si="81"/>
        <v>0</v>
      </c>
      <c r="BB171" s="7">
        <f t="shared" si="82"/>
        <v>0</v>
      </c>
      <c r="BC171" s="65">
        <f t="shared" si="78"/>
        <v>0</v>
      </c>
    </row>
    <row r="172" spans="1:55" ht="15">
      <c r="A172" s="537" t="s">
        <v>911</v>
      </c>
      <c r="B172" s="551" t="s">
        <v>751</v>
      </c>
      <c r="C172" s="72"/>
      <c r="D172" s="544"/>
      <c r="E172" s="7"/>
      <c r="F172" s="540"/>
      <c r="G172" s="50">
        <f t="shared" si="66"/>
        <v>0</v>
      </c>
      <c r="H172" s="51"/>
      <c r="I172" s="7"/>
      <c r="J172" s="540"/>
      <c r="K172" s="65">
        <f t="shared" si="67"/>
        <v>0</v>
      </c>
      <c r="L172" s="51"/>
      <c r="M172" s="7"/>
      <c r="N172" s="540"/>
      <c r="O172" s="65">
        <f t="shared" si="68"/>
        <v>0</v>
      </c>
      <c r="P172" s="51"/>
      <c r="Q172" s="7"/>
      <c r="R172" s="540"/>
      <c r="S172" s="65">
        <f t="shared" si="69"/>
        <v>0</v>
      </c>
      <c r="T172" s="51"/>
      <c r="U172" s="7"/>
      <c r="V172" s="540"/>
      <c r="W172" s="65">
        <f t="shared" si="70"/>
        <v>0</v>
      </c>
      <c r="X172" s="51"/>
      <c r="Y172" s="7"/>
      <c r="Z172" s="540"/>
      <c r="AA172" s="65">
        <f t="shared" si="71"/>
        <v>0</v>
      </c>
      <c r="AB172" s="51"/>
      <c r="AC172" s="7"/>
      <c r="AD172" s="540"/>
      <c r="AE172" s="65">
        <f t="shared" si="72"/>
        <v>0</v>
      </c>
      <c r="AF172" s="51"/>
      <c r="AG172" s="7"/>
      <c r="AH172" s="540"/>
      <c r="AI172" s="65">
        <f t="shared" si="73"/>
        <v>0</v>
      </c>
      <c r="AJ172" s="51"/>
      <c r="AK172" s="7"/>
      <c r="AL172" s="540"/>
      <c r="AM172" s="65">
        <f t="shared" si="74"/>
        <v>0</v>
      </c>
      <c r="AN172" s="51"/>
      <c r="AO172" s="7"/>
      <c r="AP172" s="540"/>
      <c r="AQ172" s="65">
        <f t="shared" si="75"/>
        <v>0</v>
      </c>
      <c r="AR172" s="51"/>
      <c r="AS172" s="7"/>
      <c r="AT172" s="540"/>
      <c r="AU172" s="65">
        <f t="shared" si="76"/>
        <v>0</v>
      </c>
      <c r="AV172" s="51"/>
      <c r="AW172" s="7"/>
      <c r="AX172" s="540"/>
      <c r="AY172" s="65">
        <f t="shared" si="77"/>
        <v>0</v>
      </c>
      <c r="AZ172" s="51"/>
      <c r="BA172" s="541">
        <f aca="true" t="shared" si="83" ref="BA172:BB174">E172+I172+M172+Q172+U172+Y172+AC172+AG172+AK172+AO172+AS172+AW172</f>
        <v>0</v>
      </c>
      <c r="BB172" s="540">
        <f t="shared" si="83"/>
        <v>0</v>
      </c>
      <c r="BC172" s="65">
        <f t="shared" si="78"/>
        <v>0</v>
      </c>
    </row>
    <row r="173" spans="1:55" ht="14.25">
      <c r="A173" s="537" t="s">
        <v>913</v>
      </c>
      <c r="B173" s="551" t="s">
        <v>741</v>
      </c>
      <c r="C173" s="71"/>
      <c r="D173" s="49"/>
      <c r="E173" s="7"/>
      <c r="F173" s="7"/>
      <c r="G173" s="50">
        <f t="shared" si="66"/>
        <v>0</v>
      </c>
      <c r="H173" s="51"/>
      <c r="I173" s="7"/>
      <c r="J173" s="7"/>
      <c r="K173" s="65">
        <f t="shared" si="67"/>
        <v>0</v>
      </c>
      <c r="L173" s="51"/>
      <c r="M173" s="7"/>
      <c r="N173" s="7"/>
      <c r="O173" s="65">
        <f t="shared" si="68"/>
        <v>0</v>
      </c>
      <c r="P173" s="51"/>
      <c r="Q173" s="7"/>
      <c r="R173" s="7"/>
      <c r="S173" s="65">
        <f t="shared" si="69"/>
        <v>0</v>
      </c>
      <c r="T173" s="51"/>
      <c r="U173" s="7"/>
      <c r="V173" s="7"/>
      <c r="W173" s="65">
        <f t="shared" si="70"/>
        <v>0</v>
      </c>
      <c r="X173" s="51"/>
      <c r="Y173" s="7"/>
      <c r="Z173" s="7"/>
      <c r="AA173" s="65">
        <f t="shared" si="71"/>
        <v>0</v>
      </c>
      <c r="AB173" s="51"/>
      <c r="AC173" s="7"/>
      <c r="AD173" s="7"/>
      <c r="AE173" s="65">
        <f t="shared" si="72"/>
        <v>0</v>
      </c>
      <c r="AF173" s="51"/>
      <c r="AG173" s="7"/>
      <c r="AH173" s="7"/>
      <c r="AI173" s="65">
        <f t="shared" si="73"/>
        <v>0</v>
      </c>
      <c r="AJ173" s="51"/>
      <c r="AK173" s="7"/>
      <c r="AL173" s="7"/>
      <c r="AM173" s="65">
        <f t="shared" si="74"/>
        <v>0</v>
      </c>
      <c r="AN173" s="51"/>
      <c r="AO173" s="7"/>
      <c r="AP173" s="7"/>
      <c r="AQ173" s="65">
        <f t="shared" si="75"/>
        <v>0</v>
      </c>
      <c r="AR173" s="51"/>
      <c r="AS173" s="7"/>
      <c r="AT173" s="7"/>
      <c r="AU173" s="65">
        <f t="shared" si="76"/>
        <v>0</v>
      </c>
      <c r="AV173" s="51"/>
      <c r="AW173" s="7"/>
      <c r="AX173" s="7"/>
      <c r="AY173" s="65">
        <f t="shared" si="77"/>
        <v>0</v>
      </c>
      <c r="AZ173" s="51"/>
      <c r="BA173" s="53">
        <f t="shared" si="83"/>
        <v>0</v>
      </c>
      <c r="BB173" s="7">
        <f t="shared" si="83"/>
        <v>0</v>
      </c>
      <c r="BC173" s="65">
        <f t="shared" si="78"/>
        <v>0</v>
      </c>
    </row>
    <row r="174" spans="1:55" ht="15">
      <c r="A174" s="537" t="s">
        <v>915</v>
      </c>
      <c r="B174" s="73" t="s">
        <v>591</v>
      </c>
      <c r="C174" s="54"/>
      <c r="D174" s="49"/>
      <c r="E174" s="7"/>
      <c r="F174" s="7"/>
      <c r="G174" s="50">
        <f t="shared" si="66"/>
        <v>0</v>
      </c>
      <c r="H174" s="51"/>
      <c r="I174" s="7"/>
      <c r="J174" s="7"/>
      <c r="K174" s="65">
        <f t="shared" si="67"/>
        <v>0</v>
      </c>
      <c r="L174" s="51"/>
      <c r="M174" s="7"/>
      <c r="N174" s="7"/>
      <c r="O174" s="65">
        <f t="shared" si="68"/>
        <v>0</v>
      </c>
      <c r="P174" s="51"/>
      <c r="Q174" s="7"/>
      <c r="R174" s="7"/>
      <c r="S174" s="65">
        <f t="shared" si="69"/>
        <v>0</v>
      </c>
      <c r="T174" s="51"/>
      <c r="U174" s="7"/>
      <c r="V174" s="7"/>
      <c r="W174" s="65">
        <f t="shared" si="70"/>
        <v>0</v>
      </c>
      <c r="X174" s="51"/>
      <c r="Y174" s="7"/>
      <c r="Z174" s="7"/>
      <c r="AA174" s="65">
        <f t="shared" si="71"/>
        <v>0</v>
      </c>
      <c r="AB174" s="51"/>
      <c r="AC174" s="7"/>
      <c r="AD174" s="7"/>
      <c r="AE174" s="65">
        <f t="shared" si="72"/>
        <v>0</v>
      </c>
      <c r="AF174" s="51"/>
      <c r="AG174" s="7"/>
      <c r="AH174" s="7"/>
      <c r="AI174" s="65">
        <f t="shared" si="73"/>
        <v>0</v>
      </c>
      <c r="AJ174" s="51"/>
      <c r="AK174" s="7"/>
      <c r="AL174" s="7"/>
      <c r="AM174" s="65">
        <f t="shared" si="74"/>
        <v>0</v>
      </c>
      <c r="AN174" s="51"/>
      <c r="AO174" s="7"/>
      <c r="AP174" s="7"/>
      <c r="AQ174" s="65">
        <f t="shared" si="75"/>
        <v>0</v>
      </c>
      <c r="AR174" s="51"/>
      <c r="AS174" s="7"/>
      <c r="AT174" s="7"/>
      <c r="AU174" s="65">
        <f t="shared" si="76"/>
        <v>0</v>
      </c>
      <c r="AV174" s="51"/>
      <c r="AW174" s="7"/>
      <c r="AX174" s="7"/>
      <c r="AY174" s="65">
        <f t="shared" si="77"/>
        <v>0</v>
      </c>
      <c r="AZ174" s="51"/>
      <c r="BA174" s="53">
        <f t="shared" si="83"/>
        <v>0</v>
      </c>
      <c r="BB174" s="7">
        <f t="shared" si="83"/>
        <v>0</v>
      </c>
      <c r="BC174" s="65">
        <f t="shared" si="78"/>
        <v>0</v>
      </c>
    </row>
    <row r="175" spans="1:55" ht="15.75" thickBot="1">
      <c r="A175" s="538"/>
      <c r="B175" s="539" t="s">
        <v>235</v>
      </c>
      <c r="C175" s="74"/>
      <c r="D175" s="547">
        <f>D9+D10+D11+D18-D23+D24+D25+D26+D27-D28+D29+D30+D31+D32+D33+D34+D35-D36+D37+D38+D41+D44-D45+D46+D47+D52+D53+D54-D55-D56-D57-D58-D59-D60-D61-D73-D74-D75-D76-D79-D80-D81-D82-D87-D91-D92+D100+D108-D119-D120-D121-D122+D123+D124+D125+D126+D137+D168+D172+D173+D174</f>
        <v>-1.30385160446167E-08</v>
      </c>
      <c r="E175" s="548">
        <f>E9+E10+E11+E18+E23+E24+E25+E26+E27+E28+E29+E30+E31+E32+E33+E34+E35+E36+E37+E38+E41+E44+E45+E46+E47+E52+E53+E54+E55+E56+E57+E58+E59+E60+E61+E73+E74+E75+E76+E79+E80+E81+E82+E87+E91+E92+E100+E108+E119+E120+E121+E122+E123+E124+E125+E126+E137+E168+E172+E173+E174</f>
        <v>80200</v>
      </c>
      <c r="F175" s="548">
        <f>F9+F10+F11+F18+F23+F24+F25+F26+F27+F28+F29+F30+F31+F32+F33+F34+F35+F36+F37+F38+F41+F44+F45+F46+F47+F52+F53+F54+F55+F56+F57+F58+F59+F60+F61+F73+F74+F75+F76+F79+F80+F81+F82+F87+F91+F92+F100+F108+F119+F120+F121+F122+F123+F124+F125+F126+F137+F168+F172+F173+F174</f>
        <v>80200</v>
      </c>
      <c r="G175" s="75">
        <f>G9+G10+G11+G18-G23+G24+G25+G26+G27-G28+G29+G30+G31+G32+G33+G34+G35-G36+G37+G38+G41+G44-G45+G46+G47+G52+G53+G54-G55-G56-G57-G58-G59-G60-G61-G73-G74-G75-G76-G79-G80-G81-G82-G87-G91-G92+G100+G108-G119-G120-G121-G122+G123+G124+G125+G126+G137+G168+G172+G173+G174</f>
        <v>-1.30385160446167E-08</v>
      </c>
      <c r="H175" s="51"/>
      <c r="I175" s="548">
        <f>I9+I10+I11+I18+I23+I24+I25+I26+I27+I28+I29+I30+I31+I32+I33+I34+I35+I36+I37+I38+I41+I44+I45+I46+I47+I52+I53+I54+I55+I56+I57+I58+I59+I60+I61+I73+I74+I75+I76+I79+I80+I81+I82+I87+I91+I92+I100+I108+I119+I120+I121+I122+I123+I124+I125+I126+I137+I168+I172+I173+I174</f>
        <v>0</v>
      </c>
      <c r="J175" s="548">
        <f>J9+J10+J11+J18+J23+J24+J25+J26+J27+J28+J29+J30+J31+J32+J33+J34+J35+J36+J37+J38+J41+J44+J45+J46+J47+J52+J53+J54+J55+J56+J57+J58+J59+J60+J61+J73+J74+J75+J76+J79+J80+J81+J82+J87+J91+J92+J100+J108+J119+J120+J121+J122+J123+J124+J125+J126+J137+J168+J172+J173+J174</f>
        <v>0</v>
      </c>
      <c r="K175" s="75">
        <f>K9+K10+K11+K18-K23+K24+K25+K26+K27-K28+K29+K30+K31+K32+K33+K34+K35-K36+K37+K38+K41+K44-K45+K46+K47+K52+K53+K54-K55-K56-K57-K58-K59-K60-K61-K73-K74-K75-K76-K79-K80-K81-K82-K87-K91-K92+K100+K108-K119-K120-K121-K122+K123+K124+K125+K126+K137+K168+K172+K173+K174</f>
        <v>-1.30385160446167E-08</v>
      </c>
      <c r="L175" s="76"/>
      <c r="M175" s="548">
        <f>M9+M10+M11+M18+M23+M24+M25+M26+M27+M28+M29+M30+M31+M32+M33+M34+M35+M36+M37+M38+M41+M44+M45+M46+M47+M52+M53+M54+M55+M56+M57+M58+M59+M60+M61+M73+M74+M75+M76+M79+M80+M81+M82+M87+M91+M92+M100+M108+M119+M120+M121+M122+M123+M124+M125+M126+M137+M168+M172+M173+M174</f>
        <v>0</v>
      </c>
      <c r="N175" s="548">
        <f>N9+N10+N11+N18+N23+N24+N25+N26+N27+N28+N29+N30+N31+N32+N33+N34+N35+N36+N37+N38+N41+N44+N45+N46+N47+N52+N53+N54+N55+N56+N57+N58+N59+N60+N61+N73+N74+N75+N76+N79+N80+N81+N82+N87+N91+N92+N100+N108+N119+N120+N121+N122+N123+N124+N125+N126+N137+N168+N172+N173+N174</f>
        <v>0</v>
      </c>
      <c r="O175" s="75">
        <f>O9+O10+O11+O18-O23+O24+O25+O26+O27-O28+O29+O30+O31+O32+O33+O34+O35-O36+O37+O38+O41+O44-O45+O46+O47+O52+O53+O54-O55-O56-O57-O58-O59-O60-O61-O73-O74-O75-O76-O79-O80-O81-O82-O87-O91-O92+O100+O108-O119-O120-O121-O122+O123+O124+O125+O126+O137+O168+O172+O173+O174</f>
        <v>-1.30385160446167E-08</v>
      </c>
      <c r="P175" s="51"/>
      <c r="Q175" s="548">
        <f>Q9+Q10+Q11+Q18+Q23+Q24+Q25+Q26+Q27+Q28+Q29+Q30+Q31+Q32+Q33+Q34+Q35+Q36+Q37+Q38+Q41+Q44+Q45+Q46+Q47+Q52+Q53+Q54+Q55+Q56+Q57+Q58+Q59+Q60+Q61+Q73+Q74+Q75+Q76+Q79+Q80+Q81+Q82+Q87+Q91+Q92+Q100+Q108+Q119+Q120+Q121+Q122+Q123+Q124+Q125+Q126+Q137+Q168+Q172+Q173+Q174</f>
        <v>0</v>
      </c>
      <c r="R175" s="548">
        <f>R9+R10+R11+R18+R23+R24+R25+R26+R27+R28+R29+R30+R31+R32+R33+R34+R35+R36+R37+R38+R41+R44+R45+R46+R47+R52+R53+R54+R55+R56+R57+R58+R59+R60+R61+R73+R74+R75+R76+R79+R80+R81+R82+R87+R91+R92+R100+R108+R119+R120+R121+R122+R123+R124+R125+R126+R137+R168+R172+R173+R174</f>
        <v>0</v>
      </c>
      <c r="S175" s="75">
        <f>S9+S10+S11+S18-S23+S24+S25+S26+S27-S28+S29+S30+S31+S32+S33+S34+S35-S36+S37+S38+S41+S44-S45+S46+S47+S52+S53+S54-S55-S56-S57-S58-S59-S60-S61-S73-S74-S75-S76-S79-S80-S81-S82-S87-S91-S92+S100+S108-S119-S120-S121-S122+S123+S124+S125+S126+S137+S168+S172+S173+S174</f>
        <v>-1.30385160446167E-08</v>
      </c>
      <c r="T175" s="76"/>
      <c r="U175" s="548">
        <f>U9+U10+U11+U18+U23+U24+U25+U26+U27+U28+U29+U30+U31+U32+U33+U34+U35+U36+U37+U38+U41+U44+U45+U46+U47+U52+U53+U54+U55+U56+U57+U58+U59+U60+U61+U73+U74+U75+U76+U79+U80+U81+U82+U87+U91+U92+U100+U108+U119+U120+U121+U122+U123+U124+U125+U126+U137+U168+U172+U173+U174</f>
        <v>0</v>
      </c>
      <c r="V175" s="548">
        <f>V9+V10+V11+V18+V23+V24+V25+V26+V27+V28+V29+V30+V31+V32+V33+V34+V35+V36+V37+V38+V41+V44+V45+V46+V47+V52+V53+V54+V55+V56+V57+V58+V59+V60+V61+V73+V74+V75+V76+V79+V80+V81+V82+V87+V91+V92+V100+V108+V119+V120+V121+V122+V123+V124+V125+V126+V137+V168+V172+V173+V174</f>
        <v>0</v>
      </c>
      <c r="W175" s="75">
        <f>W9+W10+W11+W18-W23+W24+W25+W26+W27-W28+W29+W30+W31+W32+W33+W34+W35-W36+W37+W38+W41+W44-W45+W46+W47+W52+W53+W54-W55-W56-W57-W58-W59-W60-W61-W73-W74-W75-W76-W79-W80-W81-W82-W87-W91-W92+W100+W108-W119-W120-W121-W122+W123+W124+W125+W126+W137+W168+W172+W173+W174</f>
        <v>-1.30385160446167E-08</v>
      </c>
      <c r="X175" s="76"/>
      <c r="Y175" s="548">
        <f>Y9+Y10+Y11+Y18+Y23+Y24+Y25+Y26+Y27+Y28+Y29+Y30+Y31+Y32+Y33+Y34+Y35+Y36+Y37+Y38+Y41+Y44+Y45+Y46+Y47+Y52+Y53+Y54+Y55+Y56+Y57+Y58+Y59+Y60+Y61+Y73+Y74+Y75+Y76+Y79+Y80+Y81+Y82+Y87+Y91+Y92+Y100+Y108+Y119+Y120+Y121+Y122+Y123+Y124+Y125+Y126+Y137+Y168+Y172+Y173+Y174</f>
        <v>0</v>
      </c>
      <c r="Z175" s="548">
        <f>Z9+Z10+Z11+Z18+Z23+Z24+Z25+Z26+Z27+Z28+Z29+Z30+Z31+Z32+Z33+Z34+Z35+Z36+Z37+Z38+Z41+Z44+Z45+Z46+Z47+Z52+Z53+Z54+Z55+Z56+Z57+Z58+Z59+Z60+Z61+Z73+Z74+Z75+Z76+Z79+Z80+Z81+Z82+Z87+Z91+Z92+Z100+Z108+Z119+Z120+Z121+Z122+Z123+Z124+Z125+Z126+Z137+Z168+Z172+Z173+Z174</f>
        <v>0</v>
      </c>
      <c r="AA175" s="75">
        <f>AA9+AA10+AA11+AA18-AA23+AA24+AA25+AA26+AA27-AA28+AA29+AA30+AA31+AA32+AA33+AA34+AA35-AA36+AA37+AA38+AA41+AA44-AA45+AA46+AA47+AA52+AA53+AA54-AA55-AA56-AA57-AA58-AA59-AA60-AA61-AA73-AA74-AA75-AA76-AA79-AA80-AA81-AA82-AA87-AA91-AA92+AA100+AA108-AA119-AA120-AA121-AA122+AA123+AA124+AA125+AA126+AA137+AA168+AA172+AA173+AA174</f>
        <v>-1.30385160446167E-08</v>
      </c>
      <c r="AB175" s="76"/>
      <c r="AC175" s="548">
        <f>AC9+AC10+AC11+AC18+AC23+AC24+AC25+AC26+AC27+AC28+AC29+AC30+AC31+AC32+AC33+AC34+AC35+AC36+AC37+AC38+AC41+AC44+AC45+AC46+AC47+AC52+AC53+AC54+AC55+AC56+AC57+AC58+AC59+AC60+AC61+AC73+AC74+AC75+AC76+AC79+AC80+AC81+AC82+AC87+AC91+AC92+AC100+AC108+AC119+AC120+AC121+AC122+AC123+AC124+AC125+AC126+AC137+AC168+AC172+AC173+AC174</f>
        <v>0</v>
      </c>
      <c r="AD175" s="548">
        <f>AD9+AD10+AD11+AD18+AD23+AD24+AD25+AD26+AD27+AD28+AD29+AD30+AD31+AD32+AD33+AD34+AD35+AD36+AD37+AD38+AD41+AD44+AD45+AD46+AD47+AD52+AD53+AD54+AD55+AD56+AD57+AD58+AD59+AD60+AD61+AD73+AD74+AD75+AD76+AD79+AD80+AD81+AD82+AD87+AD91+AD92+AD100+AD108+AD119+AD120+AD121+AD122+AD123+AD124+AD125+AD126+AD137+AD168+AD172+AD173+AD174</f>
        <v>0</v>
      </c>
      <c r="AE175" s="75">
        <f>AE9+AE10+AE11+AE18-AE23+AE24+AE25+AE26+AE27-AE28+AE29+AE30+AE31+AE32+AE33+AE34+AE35-AE36+AE37+AE38+AE41+AE44-AE45+AE46+AE47+AE52+AE53+AE54-AE55-AE56-AE57-AE58-AE59-AE60-AE61-AE73-AE74-AE75-AE76-AE79-AE80-AE81-AE82-AE87-AE91-AE92+AE100+AE108-AE119-AE120-AE121-AE122+AE123+AE124+AE125+AE126+AE137+AE168+AE172+AE173+AE174</f>
        <v>-1.30385160446167E-08</v>
      </c>
      <c r="AF175" s="51"/>
      <c r="AG175" s="548">
        <f>AG9+AG10+AG11+AG18+AG23+AG24+AG25+AG26+AG27+AG28+AG29+AG30+AG31+AG32+AG33+AG34+AG35+AG36+AG37+AG38+AG41+AG44+AG45+AG46+AG47+AG52+AG53+AG54+AG55+AG56+AG57+AG58+AG59+AG60+AG61+AG73+AG74+AG75+AG76+AG79+AG80+AG81+AG82+AG87+AG91+AG92+AG100+AG108+AG119+AG120+AG121+AG122+AG123+AG124+AG125+AG126+AG137+AG168+AG172+AG173+AG174</f>
        <v>0</v>
      </c>
      <c r="AH175" s="548">
        <f>AH9+AH10+AH11+AH18+AH23+AH24+AH25+AH26+AH27+AH28+AH29+AH30+AH31+AH32+AH33+AH34+AH35+AH36+AH37+AH38+AH41+AH44+AH45+AH46+AH47+AH52+AH53+AH54+AH55+AH56+AH57+AH58+AH59+AH60+AH61+AH73+AH74+AH75+AH76+AH79+AH80+AH81+AH82+AH87+AH91+AH92+AH100+AH108+AH119+AH120+AH121+AH122+AH123+AH124+AH125+AH126+AH137+AH168+AH172+AH173+AH174</f>
        <v>0</v>
      </c>
      <c r="AI175" s="75">
        <f>AI9+AI10+AI11+AI18-AI23+AI24+AI25+AI26+AI27-AI28+AI29+AI30+AI31+AI32+AI33+AI34+AI35-AI36+AI37+AI38+AI41+AI44-AI45+AI46+AI47+AI52+AI53+AI54-AI55-AI56-AI57-AI58-AI59-AI60-AI61-AI73-AI74-AI75-AI76-AI79-AI80-AI81-AI82-AI87-AI91-AI92+AI100+AI108-AI119-AI120-AI121-AI122+AI123+AI124+AI125+AI126+AI137+AI168+AI172+AI173+AI174</f>
        <v>-1.30385160446167E-08</v>
      </c>
      <c r="AJ175" s="76"/>
      <c r="AK175" s="548">
        <f>AK9+AK10+AK11+AK18+AK23+AK24+AK25+AK26+AK27+AK28+AK29+AK30+AK31+AK32+AK33+AK34+AK35+AK36+AK37+AK38+AK41+AK44+AK45+AK46+AK47+AK52+AK53+AK54+AK55+AK56+AK57+AK58+AK59+AK60+AK61+AK73+AK74+AK75+AK76+AK79+AK80+AK81+AK82+AK87+AK91+AK92+AK100+AK108+AK119+AK120+AK121+AK122+AK123+AK124+AK125+AK126+AK137+AK168+AK172+AK173+AK174</f>
        <v>0</v>
      </c>
      <c r="AL175" s="548">
        <f>AL9+AL10+AL11+AL18+AL23+AL24+AL25+AL26+AL27+AL28+AL29+AL30+AL31+AL32+AL33+AL34+AL35+AL36+AL37+AL38+AL41+AL44+AL45+AL46+AL47+AL52+AL53+AL54+AL55+AL56+AL57+AL58+AL59+AL60+AL61+AL73+AL74+AL75+AL76+AL79+AL80+AL81+AL82+AL87+AL91+AL92+AL100+AL108+AL119+AL120+AL121+AL122+AL123+AL124+AL125+AL126+AL137+AL168+AL172+AL173+AL174</f>
        <v>0</v>
      </c>
      <c r="AM175" s="75">
        <f>AM9+AM10+AM11+AM18-AM23+AM24+AM25+AM26+AM27-AM28+AM29+AM30+AM31+AM32+AM33+AM34+AM35-AM36+AM37+AM38+AM41+AM44-AM45+AM46+AM47+AM52+AM53+AM54-AM55-AM56-AM57-AM58-AM59-AM60-AM61-AM73-AM74-AM75-AM76-AM79-AM80-AM81-AM82-AM87-AM91-AM92+AM100+AM108-AM119-AM120-AM121-AM122+AM123+AM124+AM125+AM126+AM137+AM168+AM172+AM173+AM174</f>
        <v>-1.30385160446167E-08</v>
      </c>
      <c r="AN175" s="76"/>
      <c r="AO175" s="548">
        <f>AO9+AO10+AO11+AO18+AO23+AO24+AO25+AO26+AO27+AO28+AO29+AO30+AO31+AO32+AO33+AO34+AO35+AO36+AO37+AO38+AO41+AO44+AO45+AO46+AO47+AO52+AO53+AO54+AO55+AO56+AO57+AO58+AO59+AO60+AO61+AO73+AO74+AO75+AO76+AO79+AO80+AO81+AO82+AO87+AO91+AO92+AO100+AO108+AO119+AO120+AO121+AO122+AO123+AO124+AO125+AO126+AO137+AO168+AO172+AO173+AO174</f>
        <v>0</v>
      </c>
      <c r="AP175" s="548">
        <f>AP9+AP10+AP11+AP18+AP23+AP24+AP25+AP26+AP27+AP28+AP29+AP30+AP31+AP32+AP33+AP34+AP35+AP36+AP37+AP38+AP41+AP44+AP45+AP46+AP47+AP52+AP53+AP54+AP55+AP56+AP57+AP58+AP59+AP60+AP61+AP73+AP74+AP75+AP76+AP79+AP80+AP81+AP82+AP87+AP91+AP92+AP100+AP108+AP119+AP120+AP121+AP122+AP123+AP124+AP125+AP126+AP137+AP168+AP172+AP173+AP174</f>
        <v>0</v>
      </c>
      <c r="AQ175" s="75">
        <f>AQ9+AQ10+AQ11+AQ18-AQ23+AQ24+AQ25+AQ26+AQ27-AQ28+AQ29+AQ30+AQ31+AQ32+AQ33+AQ34+AQ35-AQ36+AQ37+AQ38+AQ41+AQ44-AQ45+AQ46+AQ47+AQ52+AQ53+AQ54-AQ55-AQ56-AQ57-AQ58-AQ59-AQ60-AQ61-AQ73-AQ74-AQ75-AQ76-AQ79-AQ80-AQ81-AQ82-AQ87-AQ91-AQ92+AQ100+AQ108-AQ119-AQ120-AQ121-AQ122+AQ123+AQ124+AQ125+AQ126+AQ137+AQ168+AQ172+AQ173+AQ174</f>
        <v>-1.30385160446167E-08</v>
      </c>
      <c r="AR175" s="76"/>
      <c r="AS175" s="548">
        <f>AS9+AS10+AS11+AS18+AS23+AS24+AS25+AS26+AS27+AS28+AS29+AS30+AS31+AS32+AS33+AS34+AS35+AS36+AS37+AS38+AS41+AS44+AS45+AS46+AS47+AS52+AS53+AS54+AS55+AS56+AS57+AS58+AS59+AS60+AS61+AS73+AS74+AS75+AS76+AS79+AS80+AS81+AS82+AS87+AS91+AS92+AS100+AS108+AS119+AS120+AS121+AS122+AS123+AS124+AS125+AS126+AS137+AS168+AS172+AS173+AS174</f>
        <v>0</v>
      </c>
      <c r="AT175" s="548">
        <f>AT9+AT10+AT11+AT18+AT23+AT24+AT25+AT26+AT27+AT28+AT29+AT30+AT31+AT32+AT33+AT34+AT35+AT36+AT37+AT38+AT41+AT44+AT45+AT46+AT47+AT52+AT53+AT54+AT55+AT56+AT57+AT58+AT59+AT60+AT61+AT73+AT74+AT75+AT76+AT79+AT80+AT81+AT82+AT87+AT91+AT92+AT100+AT108+AT119+AT120+AT121+AT122+AT123+AT124+AT125+AT126+AT137+AT168+AT172+AT173+AT174</f>
        <v>0</v>
      </c>
      <c r="AU175" s="75">
        <f>AU9+AU10+AU11+AU18-AU23+AU24+AU25+AU26+AU27-AU28+AU29+AU30+AU31+AU32+AU33+AU34+AU35-AU36+AU37+AU38+AU41+AU44-AU45+AU46+AU47+AU52+AU53+AU54-AU55-AU56-AU57-AU58-AU59-AU60-AU61-AU73-AU74-AU75-AU76-AU79-AU80-AU81-AU82-AU87-AU91-AU92+AU100+AU108-AU119-AU120-AU121-AU122+AU123+AU124+AU125+AU126+AU137+AU168+AU172+AU173+AU174</f>
        <v>-1.30385160446167E-08</v>
      </c>
      <c r="AV175" s="51"/>
      <c r="AW175" s="548">
        <f>AW9+AW10+AW11+AW18+AW23+AW24+AW25+AW26+AW27+AW28+AW29+AW30+AW31+AW32+AW33+AW34+AW35+AW36+AW37+AW38+AW41+AW44+AW45+AW46+AW47+AW52+AW53+AW54+AW55+AW56+AW57+AW58+AW59+AW60+AW61+AW73+AW74+AW75+AW76+AW79+AW80+AW81+AW82+AW87+AW91+AW92+AW100+AW108+AW119+AW120+AW121+AW122+AW123+AW124+AW125+AW126+AW137+AW168+AW172+AW173+AW174</f>
        <v>0</v>
      </c>
      <c r="AX175" s="548">
        <f>AX9+AX10+AX11+AX18+AX23+AX24+AX25+AX26+AX27+AX28+AX29+AX30+AX31+AX32+AX33+AX34+AX35+AX36+AX37+AX38+AX41+AX44+AX45+AX46+AX47+AX52+AX53+AX54+AX55+AX56+AX57+AX58+AX59+AX60+AX61+AX73+AX74+AX75+AX76+AX79+AX80+AX81+AX82+AX87+AX91+AX92+AX100+AX108+AX119+AX120+AX121+AX122+AX123+AX124+AX125+AX126+AX137+AX168+AX172+AX173+AX174</f>
        <v>0</v>
      </c>
      <c r="AY175" s="75">
        <f>AY9+AY10+AY11+AY18-AY23+AY24+AY25+AY26+AY27-AY28+AY29+AY30+AY31+AY32+AY33+AY34+AY35-AY36+AY37+AY38+AY41+AY44-AY45+AY46+AY47+AY52+AY53+AY54-AY55-AY56-AY57-AY58-AY59-AY60-AY61-AY73-AY74-AY75-AY76-AY79-AY80-AY81-AY82-AY87-AY91-AY92+AY100+AY108-AY119-AY120-AY121-AY122+AY123+AY124+AY125+AY126+AY137+AY168+AY172+AY173+AY174</f>
        <v>-1.30385160446167E-08</v>
      </c>
      <c r="AZ175" s="51"/>
      <c r="BA175" s="550">
        <f>BA9+BA10+BA11+BA18+BA23+BA24+BA25+BA26+BA27+BA28+BA29+BA30+BA31+BA32+BA33+BA34+BA35+BA36+BA37+BA38+BA41+BA44+BA45+BA46+BA47+BA52+BA53+BA54+BA55+BA56+BA57+BA58+BA59+BA60+BA61+BA73+BA74+BA75+BA76+BA79+BA80+BA81+BA82+BA87+BA91+BA92+BA100+BA108+BA119+BA120+BA121+BA122+BA123+BA124+BA125+BA126+BA137+BA168+BA172+BA173+BA174</f>
        <v>80200</v>
      </c>
      <c r="BB175" s="548">
        <f>BB9+BB10+BB11+BB18+BB23+BB24+BB25+BB26+BB27+BB28+BB29+BB30+BB31+BB32+BB33+BB34+BB35+BB36+BB37+BB38+BB41+BB44+BB45+BB46+BB47+BB52+BB53+BB54+BB55+BB56+BB57+BB58+BB59+BB60+BB61+BB73+BB74+BB75+BB76+BB79+BB80+BB81+BB82+BB87+BB91+BB92+BB100+BB108+BB119+BB120+BB121+BB122+BB123+BB124+BB125+BB126+BB137+BB168+BB172+BB173+BB174</f>
        <v>80200</v>
      </c>
      <c r="BC175" s="75">
        <f>BC9+BC10+BC11+BC18-BC23+BC24+BC25+BC26+BC27-BC28+BC29+BC30+BC31+BC32+BC33+BC34+BC35-BC36+BC37+BC38+BC41+BC44-BC45+BC46+BC47+BC52+BC53+BC54-BC55-BC56-BC57-BC58-BC59-BC60-BC61-BC73-BC74-BC75-BC76-BC79-BC80-BC81-BC82-BC87-BC91-BC92+BC100+BC108-BC119-BC120-BC121-BC122+BC123+BC124+BC125+BC126+BC137+BC168+BC172+BC173+BC174</f>
        <v>-1.30385160446167E-08</v>
      </c>
    </row>
    <row r="176" spans="2:46" ht="14.25">
      <c r="B176" s="77">
        <f ca="1">NOW()</f>
        <v>38825.56742395833</v>
      </c>
      <c r="C176" s="78"/>
      <c r="AS176" s="79"/>
      <c r="AT176" s="79"/>
    </row>
    <row r="177" spans="6:54" ht="14.25">
      <c r="F177" s="80">
        <f>F175-E175</f>
        <v>0</v>
      </c>
      <c r="G177" s="80"/>
      <c r="AL177" s="80">
        <f>AK175-AL175</f>
        <v>0</v>
      </c>
      <c r="AS177" s="81"/>
      <c r="AT177" s="81"/>
      <c r="BB177" s="80">
        <f>BA175-BB175</f>
        <v>0</v>
      </c>
    </row>
    <row r="178" spans="4:46" ht="14.25">
      <c r="D178" s="82"/>
      <c r="F178" s="32"/>
      <c r="G178" s="82"/>
      <c r="AS178" s="81"/>
      <c r="AT178" s="81"/>
    </row>
    <row r="179" spans="7:46" ht="14.25">
      <c r="G179" s="82"/>
      <c r="AS179" s="81"/>
      <c r="AT179" s="81"/>
    </row>
    <row r="183" ht="14.25">
      <c r="F183" s="80"/>
    </row>
    <row r="184" ht="14.25">
      <c r="F184" s="80"/>
    </row>
    <row r="185" ht="14.25">
      <c r="F185" s="80"/>
    </row>
    <row r="186" ht="14.25">
      <c r="F186" s="80"/>
    </row>
  </sheetData>
  <sheetProtection/>
  <mergeCells count="3">
    <mergeCell ref="B7:B8"/>
    <mergeCell ref="C7:C8"/>
    <mergeCell ref="I4:I5"/>
  </mergeCells>
  <printOptions/>
  <pageMargins left="0.75" right="0.75" top="1" bottom="1" header="0.5" footer="0.5"/>
  <pageSetup horizontalDpi="360" verticalDpi="360" orientation="portrait" paperSize="9" r:id="rId1"/>
  <ignoredErrors>
    <ignoredError sqref="AU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80"/>
  <sheetViews>
    <sheetView showZeros="0" workbookViewId="0" topLeftCell="A1">
      <selection activeCell="I45" sqref="I45"/>
    </sheetView>
  </sheetViews>
  <sheetFormatPr defaultColWidth="9.00390625" defaultRowHeight="14.25"/>
  <cols>
    <col min="1" max="1" width="6.00390625" style="0" customWidth="1"/>
    <col min="2" max="2" width="21.50390625" style="0" customWidth="1"/>
    <col min="3" max="3" width="3.875" style="0" customWidth="1"/>
    <col min="4" max="4" width="15.50390625" style="0" customWidth="1"/>
    <col min="5" max="6" width="14.00390625" style="0" customWidth="1"/>
    <col min="7" max="7" width="17.50390625" style="0" customWidth="1"/>
    <col min="8" max="8" width="0.875" style="0" customWidth="1"/>
    <col min="9" max="9" width="11.25390625" style="0" customWidth="1"/>
    <col min="10" max="10" width="4.50390625" style="0" customWidth="1"/>
  </cols>
  <sheetData>
    <row r="1" spans="1:11" ht="15.75">
      <c r="A1" s="3"/>
      <c r="B1" s="83"/>
      <c r="C1" s="84"/>
      <c r="D1" s="83"/>
      <c r="E1" s="85"/>
      <c r="F1" s="83"/>
      <c r="G1" s="86">
        <f>IF(HLOOKUP($J$11,'记账凭证汇总'!$D$1:$BC$78,2)="现 收：0-000"," ",(HLOOKUP($J$11,'记账凭证汇总'!$D$1:$BC$78,2)))</f>
        <v>0</v>
      </c>
      <c r="H1" s="3"/>
      <c r="I1" s="791" t="s">
        <v>420</v>
      </c>
      <c r="J1" s="4"/>
      <c r="K1" s="790"/>
    </row>
    <row r="2" spans="1:11" ht="14.25">
      <c r="A2" s="3"/>
      <c r="B2" s="83"/>
      <c r="C2" s="833" t="s">
        <v>1046</v>
      </c>
      <c r="D2" s="83"/>
      <c r="E2" s="83"/>
      <c r="F2" s="83"/>
      <c r="G2" s="86">
        <f>IF(HLOOKUP($J$11,'记账凭证汇总'!$D$1:$BC$78,3)="现 付：0-000"," ",(HLOOKUP($J$11,'记账凭证汇总'!$D$1:$BC$78,3)))</f>
        <v>0</v>
      </c>
      <c r="H2" s="3"/>
      <c r="I2" s="784">
        <f ca="1">NOW()</f>
        <v>38825.56742395833</v>
      </c>
      <c r="J2" s="4"/>
      <c r="K2" s="790"/>
    </row>
    <row r="3" spans="1:11" ht="14.25">
      <c r="A3" s="3"/>
      <c r="B3" s="87"/>
      <c r="C3" s="88"/>
      <c r="D3" s="83"/>
      <c r="E3" s="83"/>
      <c r="F3" s="83"/>
      <c r="G3" s="86">
        <f>IF(HLOOKUP($J$11,'记账凭证汇总'!$D$1:$BC$78,4)="行 收：0-000"," ",(HLOOKUP($J$11,'记账凭证汇总'!$D$1:$BC$78,4)))</f>
        <v>0</v>
      </c>
      <c r="H3" s="3"/>
      <c r="I3" s="785" t="str">
        <f>CHOOSE(WEEKDAY(I2,2),"星期一","星期二","星期三","星期四","星期五","星期六","星期日")</f>
        <v>星期二</v>
      </c>
      <c r="J3" s="4"/>
      <c r="K3" s="790"/>
    </row>
    <row r="4" spans="1:10" ht="3.75" customHeight="1">
      <c r="A4" s="3"/>
      <c r="B4" s="88"/>
      <c r="C4" s="88"/>
      <c r="D4" s="89"/>
      <c r="E4" s="83"/>
      <c r="F4" s="83"/>
      <c r="G4" s="90"/>
      <c r="H4" s="3"/>
      <c r="I4" s="3"/>
      <c r="J4" s="3"/>
    </row>
    <row r="5" spans="1:10" ht="18.75">
      <c r="A5" s="91"/>
      <c r="B5" s="92"/>
      <c r="C5" s="834" t="s">
        <v>86</v>
      </c>
      <c r="D5" s="4"/>
      <c r="E5" s="83"/>
      <c r="F5" s="83"/>
      <c r="G5" s="86">
        <f>IF(HLOOKUP($J$11,'记账凭证汇总'!$D$1:$BC$78,5)="行 付：0-000"," ",(HLOOKUP($J$11,'记账凭证汇总'!$D$1:$BC$78,5)))</f>
        <v>0</v>
      </c>
      <c r="H5" s="3"/>
      <c r="I5" s="3"/>
      <c r="J5" s="3"/>
    </row>
    <row r="6" spans="1:10" ht="14.25" customHeight="1" thickBot="1">
      <c r="A6" s="93" t="str">
        <f>HLOOKUP($J$9,'记账凭证汇总'!$A$1:$BC$175,7)</f>
        <v>二00六年二月 February</v>
      </c>
      <c r="B6" s="94"/>
      <c r="C6" s="95"/>
      <c r="D6" s="95"/>
      <c r="E6" s="95"/>
      <c r="F6" s="95"/>
      <c r="G6" s="96">
        <f>IF(HLOOKUP($J$11,'记账凭证汇总'!$D$1:$BC$78,6)="转 账：0-000"," ",(HLOOKUP($J$11,'记账凭证汇总'!$D$1:$BC$78,6)))</f>
        <v>0</v>
      </c>
      <c r="H6" s="3"/>
      <c r="I6" s="3"/>
      <c r="J6" s="3"/>
    </row>
    <row r="7" spans="1:10" ht="26.25" customHeight="1">
      <c r="A7" s="97" t="s">
        <v>36</v>
      </c>
      <c r="B7" s="98" t="s">
        <v>594</v>
      </c>
      <c r="C7" s="99"/>
      <c r="D7" s="100" t="s">
        <v>595</v>
      </c>
      <c r="E7" s="100" t="s">
        <v>596</v>
      </c>
      <c r="F7" s="100" t="s">
        <v>597</v>
      </c>
      <c r="G7" s="101" t="s">
        <v>598</v>
      </c>
      <c r="H7" s="3"/>
      <c r="I7" s="102" t="s">
        <v>599</v>
      </c>
      <c r="J7" s="806">
        <v>14</v>
      </c>
    </row>
    <row r="8" spans="1:10" ht="6" customHeight="1">
      <c r="A8" s="104"/>
      <c r="B8" s="105"/>
      <c r="C8" s="106"/>
      <c r="D8" s="107"/>
      <c r="E8" s="107"/>
      <c r="F8" s="107"/>
      <c r="G8" s="107"/>
      <c r="H8" s="3"/>
      <c r="I8" s="102"/>
      <c r="J8" s="103"/>
    </row>
    <row r="9" spans="1:10" ht="12.75" customHeight="1">
      <c r="A9" s="632">
        <v>100100</v>
      </c>
      <c r="B9" s="836" t="s">
        <v>759</v>
      </c>
      <c r="C9" s="108"/>
      <c r="D9" s="807">
        <f>HLOOKUP($J$7,'记账凭证汇总'!$D$1:$BC$175,9)</f>
        <v>2089139.99999999</v>
      </c>
      <c r="E9" s="808">
        <f>HLOOKUP($J$9,'记账凭证汇总'!$D$1:$BC$175,9)</f>
        <v>0</v>
      </c>
      <c r="F9" s="808">
        <f>HLOOKUP($J$10,'记账凭证汇总'!$D$1:$BC$175,9)</f>
        <v>0</v>
      </c>
      <c r="G9" s="809">
        <f>HLOOKUP($J$11,'记账凭证汇总'!$D$1:$BC$175,9)</f>
        <v>2089139.99999999</v>
      </c>
      <c r="H9" s="3"/>
      <c r="I9" s="102" t="s">
        <v>600</v>
      </c>
      <c r="J9" s="103">
        <v>21</v>
      </c>
    </row>
    <row r="10" spans="1:10" ht="12.75" customHeight="1">
      <c r="A10" s="633" t="s">
        <v>814</v>
      </c>
      <c r="B10" s="73" t="s">
        <v>760</v>
      </c>
      <c r="C10" s="109"/>
      <c r="D10" s="810">
        <f>HLOOKUP($J$7,'记账凭证汇总'!$D$1:$BC$175,10)</f>
        <v>3643740.22</v>
      </c>
      <c r="E10" s="811">
        <f>HLOOKUP($J$9,'记账凭证汇总'!$D$1:$BC$175,10)</f>
        <v>0</v>
      </c>
      <c r="F10" s="811">
        <f>HLOOKUP($J$10,'记账凭证汇总'!$D$1:$BC$175,10)</f>
        <v>0</v>
      </c>
      <c r="G10" s="812">
        <f>HLOOKUP($J$11,'记账凭证汇总'!$D$1:$BC$175,10)</f>
        <v>3643740.22</v>
      </c>
      <c r="H10" s="3"/>
      <c r="I10" s="102" t="s">
        <v>601</v>
      </c>
      <c r="J10" s="103">
        <v>22</v>
      </c>
    </row>
    <row r="11" spans="1:10" ht="12.75" customHeight="1">
      <c r="A11" s="633">
        <v>100900</v>
      </c>
      <c r="B11" s="132" t="s">
        <v>46</v>
      </c>
      <c r="C11" s="110"/>
      <c r="D11" s="810">
        <f>HLOOKUP($J$7,'记账凭证汇总'!$D$1:$BC$175,11)</f>
        <v>2506797.73</v>
      </c>
      <c r="E11" s="811">
        <f>HLOOKUP($J$9,'记账凭证汇总'!$D$1:$BC$175,11)</f>
        <v>0</v>
      </c>
      <c r="F11" s="811">
        <f>HLOOKUP($J$10,'记账凭证汇总'!$D$1:$BC$175,11)</f>
        <v>0</v>
      </c>
      <c r="G11" s="812">
        <f>HLOOKUP($J$11,'记账凭证汇总'!$D$1:$BC$175,11)</f>
        <v>2506797.73</v>
      </c>
      <c r="H11" s="3"/>
      <c r="I11" s="102" t="s">
        <v>602</v>
      </c>
      <c r="J11" s="103">
        <v>23</v>
      </c>
    </row>
    <row r="12" spans="1:10" ht="12.75" customHeight="1" hidden="1">
      <c r="A12" s="633" t="s">
        <v>916</v>
      </c>
      <c r="B12" s="132" t="s">
        <v>528</v>
      </c>
      <c r="C12" s="110"/>
      <c r="D12" s="810">
        <f>HLOOKUP($J$7,'记账凭证汇总'!$D$1:$BC$175,12)</f>
        <v>0</v>
      </c>
      <c r="E12" s="811">
        <f>HLOOKUP($J$9,'记账凭证汇总'!$D$1:$BC$175,12)</f>
        <v>0</v>
      </c>
      <c r="F12" s="811">
        <f>HLOOKUP($J$10,'记账凭证汇总'!$D$1:$BC$175,12)</f>
        <v>0</v>
      </c>
      <c r="G12" s="812">
        <f>HLOOKUP($J$11,'记账凭证汇总'!$D$1:$BC$175,12)</f>
        <v>0</v>
      </c>
      <c r="H12" s="3"/>
      <c r="I12" s="3"/>
      <c r="J12" s="3"/>
    </row>
    <row r="13" spans="1:10" ht="12.75" customHeight="1" hidden="1">
      <c r="A13" s="633" t="s">
        <v>917</v>
      </c>
      <c r="B13" s="132" t="s">
        <v>529</v>
      </c>
      <c r="C13" s="111"/>
      <c r="D13" s="810">
        <f>HLOOKUP($J$7,'记账凭证汇总'!$D$1:$BC$175,13)</f>
        <v>0</v>
      </c>
      <c r="E13" s="811">
        <f>HLOOKUP($J$9,'记账凭证汇总'!$D$1:$BC$175,13)</f>
        <v>0</v>
      </c>
      <c r="F13" s="811">
        <f>HLOOKUP($J$10,'记账凭证汇总'!$D$1:$BC$175,13)</f>
        <v>0</v>
      </c>
      <c r="G13" s="812">
        <f>HLOOKUP($J$11,'记账凭证汇总'!$D$1:$BC$175,13)</f>
        <v>0</v>
      </c>
      <c r="H13" s="3"/>
      <c r="I13" s="3"/>
      <c r="J13" s="3"/>
    </row>
    <row r="14" spans="1:10" ht="12.75" customHeight="1" hidden="1">
      <c r="A14" s="633" t="s">
        <v>918</v>
      </c>
      <c r="B14" s="73" t="s">
        <v>530</v>
      </c>
      <c r="C14" s="112"/>
      <c r="D14" s="810">
        <f>HLOOKUP($J$7,'记账凭证汇总'!$D$1:$BC$175,14)</f>
        <v>0</v>
      </c>
      <c r="E14" s="811">
        <f>HLOOKUP($J$9,'记账凭证汇总'!$D$1:$BC$175,14)</f>
        <v>0</v>
      </c>
      <c r="F14" s="811">
        <f>HLOOKUP($J$10,'记账凭证汇总'!$D$1:$BC$175,14)</f>
        <v>0</v>
      </c>
      <c r="G14" s="812">
        <f>HLOOKUP($J$11,'记账凭证汇总'!$D$1:$BC$175,14)</f>
        <v>0</v>
      </c>
      <c r="H14" s="3"/>
      <c r="I14" s="3"/>
      <c r="J14" s="3"/>
    </row>
    <row r="15" spans="1:10" ht="12.75" customHeight="1" hidden="1">
      <c r="A15" s="633" t="s">
        <v>919</v>
      </c>
      <c r="B15" s="73" t="s">
        <v>531</v>
      </c>
      <c r="C15" s="110"/>
      <c r="D15" s="810">
        <f>HLOOKUP($J$7,'记账凭证汇总'!$D$1:$BC$175,15)</f>
        <v>0</v>
      </c>
      <c r="E15" s="811">
        <f>HLOOKUP($J$9,'记账凭证汇总'!$D$1:$BC$175,15)</f>
        <v>0</v>
      </c>
      <c r="F15" s="811">
        <f>HLOOKUP($J$10,'记账凭证汇总'!$D$1:$BC$175,15)</f>
        <v>0</v>
      </c>
      <c r="G15" s="812">
        <f>HLOOKUP($J$11,'记账凭证汇总'!$D$1:$BC$175,15)</f>
        <v>0</v>
      </c>
      <c r="H15" s="3"/>
      <c r="I15" s="3"/>
      <c r="J15" s="3"/>
    </row>
    <row r="16" spans="1:10" ht="12.75" customHeight="1" hidden="1">
      <c r="A16" s="633" t="s">
        <v>920</v>
      </c>
      <c r="B16" s="73" t="s">
        <v>532</v>
      </c>
      <c r="C16" s="110"/>
      <c r="D16" s="810">
        <f>HLOOKUP($J$7,'记账凭证汇总'!$D$1:$BC$175,16)</f>
        <v>2506797.73</v>
      </c>
      <c r="E16" s="811">
        <f>HLOOKUP($J$9,'记账凭证汇总'!$D$1:$BC$175,16)</f>
        <v>0</v>
      </c>
      <c r="F16" s="811">
        <f>HLOOKUP($J$10,'记账凭证汇总'!$D$1:$BC$175,16)</f>
        <v>0</v>
      </c>
      <c r="G16" s="812">
        <f>HLOOKUP($J$11,'记账凭证汇总'!$D$1:$BC$175,16)</f>
        <v>2506797.73</v>
      </c>
      <c r="H16" s="3"/>
      <c r="I16" s="3"/>
      <c r="J16" s="3"/>
    </row>
    <row r="17" spans="1:10" ht="12.75" customHeight="1" hidden="1">
      <c r="A17" s="633" t="s">
        <v>921</v>
      </c>
      <c r="B17" s="73" t="s">
        <v>533</v>
      </c>
      <c r="C17" s="112"/>
      <c r="D17" s="810">
        <f>HLOOKUP($J$7,'记账凭证汇总'!$D$1:$BC$175,17)</f>
        <v>0</v>
      </c>
      <c r="E17" s="811">
        <f>HLOOKUP($J$9,'记账凭证汇总'!$D$1:$BC$175,17)</f>
        <v>0</v>
      </c>
      <c r="F17" s="811">
        <f>HLOOKUP($J$10,'记账凭证汇总'!$D$1:$BC$175,17)</f>
        <v>0</v>
      </c>
      <c r="G17" s="812">
        <f>HLOOKUP($J$11,'记账凭证汇总'!$D$1:$BC$175,17)</f>
        <v>0</v>
      </c>
      <c r="H17" s="3"/>
      <c r="I17" s="3"/>
      <c r="J17" s="3"/>
    </row>
    <row r="18" spans="1:10" ht="12.75" customHeight="1" hidden="1">
      <c r="A18" s="633">
        <v>110100</v>
      </c>
      <c r="B18" s="73" t="s">
        <v>728</v>
      </c>
      <c r="C18" s="112"/>
      <c r="D18" s="810">
        <f>HLOOKUP($J$7,'记账凭证汇总'!$D$1:$BC$175,18)</f>
        <v>0</v>
      </c>
      <c r="E18" s="811">
        <f>HLOOKUP($J$9,'记账凭证汇总'!$D$1:$BC$175,18)</f>
        <v>0</v>
      </c>
      <c r="F18" s="811">
        <f>HLOOKUP($J$10,'记账凭证汇总'!$D$1:$BC$175,18)</f>
        <v>0</v>
      </c>
      <c r="G18" s="812">
        <f>HLOOKUP($J$11,'记账凭证汇总'!$D$1:$BC$175,18)</f>
        <v>0</v>
      </c>
      <c r="H18" s="3"/>
      <c r="I18" s="3"/>
      <c r="J18" s="3"/>
    </row>
    <row r="19" spans="1:10" ht="12.75" customHeight="1" hidden="1">
      <c r="A19" s="633" t="s">
        <v>922</v>
      </c>
      <c r="B19" s="73" t="s">
        <v>535</v>
      </c>
      <c r="C19" s="112"/>
      <c r="D19" s="810">
        <f>HLOOKUP($J$7,'记账凭证汇总'!$D$1:$BC$175,19)</f>
        <v>0</v>
      </c>
      <c r="E19" s="811">
        <f>HLOOKUP($J$9,'记账凭证汇总'!$D$1:$BC$175,19)</f>
        <v>0</v>
      </c>
      <c r="F19" s="811">
        <f>HLOOKUP($J$10,'记账凭证汇总'!$D$1:$BC$175,19)</f>
        <v>0</v>
      </c>
      <c r="G19" s="812">
        <f>HLOOKUP($J$11,'记账凭证汇总'!$D$1:$BC$175,19)</f>
        <v>0</v>
      </c>
      <c r="H19" s="3"/>
      <c r="I19" s="3"/>
      <c r="J19" s="3"/>
    </row>
    <row r="20" spans="1:10" ht="12.75" customHeight="1" hidden="1">
      <c r="A20" s="633" t="s">
        <v>923</v>
      </c>
      <c r="B20" s="73" t="s">
        <v>536</v>
      </c>
      <c r="C20" s="112"/>
      <c r="D20" s="810">
        <f>HLOOKUP($J$7,'记账凭证汇总'!$D$1:$BC$175,20)</f>
        <v>0</v>
      </c>
      <c r="E20" s="811">
        <f>HLOOKUP($J$9,'记账凭证汇总'!$D$1:$BC$175,20)</f>
        <v>0</v>
      </c>
      <c r="F20" s="811">
        <f>HLOOKUP($J$10,'记账凭证汇总'!$D$1:$BC$175,20)</f>
        <v>0</v>
      </c>
      <c r="G20" s="812">
        <f>HLOOKUP($J$11,'记账凭证汇总'!$D$1:$BC$175,20)</f>
        <v>0</v>
      </c>
      <c r="H20" s="3"/>
      <c r="I20" s="3"/>
      <c r="J20" s="3"/>
    </row>
    <row r="21" spans="1:10" ht="12.75" customHeight="1" hidden="1">
      <c r="A21" s="633" t="s">
        <v>924</v>
      </c>
      <c r="B21" s="113" t="s">
        <v>537</v>
      </c>
      <c r="C21" s="112"/>
      <c r="D21" s="810">
        <f>HLOOKUP($J$7,'记账凭证汇总'!$D$1:$BC$175,21)</f>
        <v>0</v>
      </c>
      <c r="E21" s="811">
        <f>HLOOKUP($J$9,'记账凭证汇总'!$D$1:$BC$175,21)</f>
        <v>0</v>
      </c>
      <c r="F21" s="811">
        <f>HLOOKUP($J$10,'记账凭证汇总'!$D$1:$BC$175,21)</f>
        <v>0</v>
      </c>
      <c r="G21" s="812">
        <f>HLOOKUP($J$11,'记账凭证汇总'!$D$1:$BC$175,21)</f>
        <v>0</v>
      </c>
      <c r="H21" s="3"/>
      <c r="I21" s="3"/>
      <c r="J21" s="3"/>
    </row>
    <row r="22" spans="1:10" ht="12.75" customHeight="1" hidden="1">
      <c r="A22" s="633" t="s">
        <v>925</v>
      </c>
      <c r="B22" s="73" t="s">
        <v>1019</v>
      </c>
      <c r="C22" s="110"/>
      <c r="D22" s="810">
        <f>HLOOKUP($J$7,'记账凭证汇总'!$D$1:$BC$175,22)</f>
        <v>0</v>
      </c>
      <c r="E22" s="811">
        <f>HLOOKUP($J$9,'记账凭证汇总'!$D$1:$BC$175,22)</f>
        <v>0</v>
      </c>
      <c r="F22" s="811">
        <f>HLOOKUP($J$10,'记账凭证汇总'!$D$1:$BC$175,22)</f>
        <v>0</v>
      </c>
      <c r="G22" s="812">
        <f>HLOOKUP($J$11,'记账凭证汇总'!$D$1:$BC$175,22)</f>
        <v>0</v>
      </c>
      <c r="H22" s="3"/>
      <c r="I22" s="3"/>
      <c r="J22" s="3"/>
    </row>
    <row r="23" spans="1:10" ht="12.75" customHeight="1" hidden="1">
      <c r="A23" s="633">
        <v>110200</v>
      </c>
      <c r="B23" s="113" t="s">
        <v>729</v>
      </c>
      <c r="C23" s="110"/>
      <c r="D23" s="810">
        <f>HLOOKUP($J$7,'记账凭证汇总'!$D$1:$BC$175,23)</f>
        <v>0</v>
      </c>
      <c r="E23" s="811">
        <f>HLOOKUP($J$9,'记账凭证汇总'!$D$1:$BC$175,23)</f>
        <v>0</v>
      </c>
      <c r="F23" s="811">
        <f>HLOOKUP($J$10,'记账凭证汇总'!$D$1:$BC$175,23)</f>
        <v>0</v>
      </c>
      <c r="G23" s="812">
        <f>HLOOKUP($J$11,'记账凭证汇总'!$D$1:$BC$175,23)</f>
        <v>0</v>
      </c>
      <c r="H23" s="3"/>
      <c r="I23" s="3"/>
      <c r="J23" s="3"/>
    </row>
    <row r="24" spans="1:10" ht="12.75" customHeight="1">
      <c r="A24" s="633" t="s">
        <v>816</v>
      </c>
      <c r="B24" s="73" t="s">
        <v>761</v>
      </c>
      <c r="C24" s="110"/>
      <c r="D24" s="810">
        <f>HLOOKUP($J$7,'记账凭证汇总'!$D$1:$BC$175,24)</f>
        <v>0</v>
      </c>
      <c r="E24" s="811">
        <f>HLOOKUP($J$9,'记账凭证汇总'!$D$1:$BC$175,24)</f>
        <v>0</v>
      </c>
      <c r="F24" s="811">
        <f>HLOOKUP($J$10,'记账凭证汇总'!$D$1:$BC$175,24)</f>
        <v>0</v>
      </c>
      <c r="G24" s="812">
        <f>HLOOKUP($J$11,'记账凭证汇总'!$D$1:$BC$175,24)</f>
        <v>0</v>
      </c>
      <c r="H24" s="3"/>
      <c r="I24" s="3"/>
      <c r="J24" s="3"/>
    </row>
    <row r="25" spans="1:10" ht="12.75" customHeight="1" hidden="1">
      <c r="A25" s="633" t="s">
        <v>818</v>
      </c>
      <c r="B25" s="73" t="s">
        <v>538</v>
      </c>
      <c r="C25" s="112"/>
      <c r="D25" s="810">
        <f>HLOOKUP($J$7,'记账凭证汇总'!$D$1:$BC$175,25)</f>
        <v>0</v>
      </c>
      <c r="E25" s="811">
        <f>HLOOKUP($J$9,'记账凭证汇总'!$D$1:$BC$175,25)</f>
        <v>0</v>
      </c>
      <c r="F25" s="811">
        <f>HLOOKUP($J$10,'记账凭证汇总'!$D$1:$BC$175,25)</f>
        <v>0</v>
      </c>
      <c r="G25" s="812">
        <f>HLOOKUP($J$11,'记账凭证汇总'!$D$1:$BC$175,25)</f>
        <v>0</v>
      </c>
      <c r="H25" s="3"/>
      <c r="I25" s="3"/>
      <c r="J25" s="3"/>
    </row>
    <row r="26" spans="1:10" ht="12.75" customHeight="1">
      <c r="A26" s="633" t="s">
        <v>820</v>
      </c>
      <c r="B26" s="73" t="s">
        <v>47</v>
      </c>
      <c r="C26" s="112"/>
      <c r="D26" s="810">
        <f>HLOOKUP($J$7,'记账凭证汇总'!$D$1:$BC$175,26)</f>
        <v>177377</v>
      </c>
      <c r="E26" s="811">
        <f>HLOOKUP($J$9,'记账凭证汇总'!$D$1:$BC$175,26)</f>
        <v>0</v>
      </c>
      <c r="F26" s="811">
        <f>HLOOKUP($J$10,'记账凭证汇总'!$D$1:$BC$175,26)</f>
        <v>0</v>
      </c>
      <c r="G26" s="812">
        <f>HLOOKUP($J$11,'记账凭证汇总'!$D$1:$BC$175,26)</f>
        <v>177377</v>
      </c>
      <c r="H26" s="3"/>
      <c r="I26" s="913"/>
      <c r="J26" s="3"/>
    </row>
    <row r="27" spans="1:10" ht="12.75" customHeight="1">
      <c r="A27" s="633" t="s">
        <v>822</v>
      </c>
      <c r="B27" s="73" t="s">
        <v>48</v>
      </c>
      <c r="C27" s="112"/>
      <c r="D27" s="810">
        <f>HLOOKUP($J$7,'记账凭证汇总'!$D$1:$BC$175,27)</f>
        <v>6028070.72</v>
      </c>
      <c r="E27" s="811">
        <f>HLOOKUP($J$9,'记账凭证汇总'!$D$1:$BC$175,27)</f>
        <v>0</v>
      </c>
      <c r="F27" s="811">
        <f>HLOOKUP($J$10,'记账凭证汇总'!$D$1:$BC$175,27)</f>
        <v>0</v>
      </c>
      <c r="G27" s="812">
        <f>HLOOKUP($J$11,'记账凭证汇总'!$D$1:$BC$175,27)</f>
        <v>6028070.72</v>
      </c>
      <c r="H27" s="3"/>
      <c r="I27" s="913"/>
      <c r="J27" s="3"/>
    </row>
    <row r="28" spans="1:10" ht="12.75" customHeight="1" hidden="1">
      <c r="A28" s="633" t="s">
        <v>824</v>
      </c>
      <c r="B28" s="73" t="s">
        <v>49</v>
      </c>
      <c r="C28" s="112"/>
      <c r="D28" s="810">
        <f>HLOOKUP($J$7,'记账凭证汇总'!$D$1:$BC$175,28)</f>
        <v>0</v>
      </c>
      <c r="E28" s="811">
        <f>HLOOKUP($J$9,'记账凭证汇总'!$D$1:$BC$175,28)</f>
        <v>0</v>
      </c>
      <c r="F28" s="811">
        <f>HLOOKUP($J$10,'记账凭证汇总'!$D$1:$BC$175,28)</f>
        <v>0</v>
      </c>
      <c r="G28" s="812">
        <f>HLOOKUP($J$11,'记账凭证汇总'!$D$1:$BC$175,28)</f>
        <v>0</v>
      </c>
      <c r="H28" s="3"/>
      <c r="I28" s="3"/>
      <c r="J28" s="3"/>
    </row>
    <row r="29" spans="1:10" ht="12.75" customHeight="1" hidden="1">
      <c r="A29" s="633" t="s">
        <v>826</v>
      </c>
      <c r="B29" s="73" t="s">
        <v>539</v>
      </c>
      <c r="C29" s="112"/>
      <c r="D29" s="810">
        <f>HLOOKUP($J$7,'记账凭证汇总'!$D$1:$BC$175,29)</f>
        <v>0</v>
      </c>
      <c r="E29" s="811">
        <f>HLOOKUP($J$9,'记账凭证汇总'!$D$1:$BC$175,29)</f>
        <v>0</v>
      </c>
      <c r="F29" s="811">
        <f>HLOOKUP($J$10,'记账凭证汇总'!$D$1:$BC$175,29)</f>
        <v>0</v>
      </c>
      <c r="G29" s="812">
        <f>HLOOKUP($J$11,'记账凭证汇总'!$D$1:$BC$175,29)</f>
        <v>0</v>
      </c>
      <c r="H29" s="3"/>
      <c r="I29" s="3"/>
      <c r="J29" s="3"/>
    </row>
    <row r="30" spans="1:10" ht="12.75" customHeight="1" hidden="1">
      <c r="A30" s="633" t="s">
        <v>828</v>
      </c>
      <c r="B30" s="837" t="s">
        <v>540</v>
      </c>
      <c r="C30" s="110"/>
      <c r="D30" s="810">
        <f>HLOOKUP($J$7,'记账凭证汇总'!$D$1:$BC$175,30)</f>
        <v>0</v>
      </c>
      <c r="E30" s="811">
        <f>HLOOKUP($J$9,'记账凭证汇总'!$D$1:$BC$175,30)</f>
        <v>0</v>
      </c>
      <c r="F30" s="811">
        <f>HLOOKUP($J$10,'记账凭证汇总'!$D$1:$BC$175,30)</f>
        <v>0</v>
      </c>
      <c r="G30" s="812">
        <f>HLOOKUP($J$11,'记账凭证汇总'!$D$1:$BC$175,30)</f>
        <v>0</v>
      </c>
      <c r="H30" s="3"/>
      <c r="I30" s="3"/>
      <c r="J30" s="3"/>
    </row>
    <row r="31" spans="1:10" ht="12.75" customHeight="1">
      <c r="A31" s="633" t="s">
        <v>830</v>
      </c>
      <c r="B31" s="837" t="s">
        <v>726</v>
      </c>
      <c r="C31" s="111"/>
      <c r="D31" s="810">
        <f>HLOOKUP($J$7,'记账凭证汇总'!$D$1:$BC$175,31)</f>
        <v>65314.21</v>
      </c>
      <c r="E31" s="811">
        <f>HLOOKUP($J$9,'记账凭证汇总'!$D$1:$BC$175,31)</f>
        <v>0</v>
      </c>
      <c r="F31" s="811">
        <f>HLOOKUP($J$10,'记账凭证汇总'!$D$1:$BC$175,31)</f>
        <v>0</v>
      </c>
      <c r="G31" s="812">
        <f>HLOOKUP($J$11,'记账凭证汇总'!$D$1:$BC$175,31)</f>
        <v>65314.21</v>
      </c>
      <c r="H31" s="3"/>
      <c r="I31" s="3"/>
      <c r="J31" s="3"/>
    </row>
    <row r="32" spans="1:10" ht="12.75" customHeight="1" hidden="1">
      <c r="A32" s="633">
        <v>124300</v>
      </c>
      <c r="B32" s="837" t="s">
        <v>734</v>
      </c>
      <c r="C32" s="110"/>
      <c r="D32" s="810">
        <f>HLOOKUP($J$7,'记账凭证汇总'!$D$1:$BC$175,32)</f>
        <v>0</v>
      </c>
      <c r="E32" s="811">
        <f>HLOOKUP($J$9,'记账凭证汇总'!$D$1:$BC$175,32)</f>
        <v>0</v>
      </c>
      <c r="F32" s="811">
        <f>HLOOKUP($J$10,'记账凭证汇总'!$D$1:$BC$175,32)</f>
        <v>0</v>
      </c>
      <c r="G32" s="812">
        <f>HLOOKUP($J$11,'记账凭证汇总'!$D$1:$BC$175,32)</f>
        <v>0</v>
      </c>
      <c r="H32" s="3"/>
      <c r="I32" s="3"/>
      <c r="J32" s="3"/>
    </row>
    <row r="33" spans="1:10" ht="12.75" customHeight="1" hidden="1">
      <c r="A33" s="633" t="s">
        <v>832</v>
      </c>
      <c r="B33" s="837" t="s">
        <v>738</v>
      </c>
      <c r="C33" s="110"/>
      <c r="D33" s="810">
        <f>HLOOKUP($J$7,'记账凭证汇总'!$D$1:$BC$175,33)</f>
        <v>0</v>
      </c>
      <c r="E33" s="811">
        <f>HLOOKUP($J$9,'记账凭证汇总'!$D$1:$BC$175,33)</f>
        <v>0</v>
      </c>
      <c r="F33" s="811">
        <f>HLOOKUP($J$10,'记账凭证汇总'!$D$1:$BC$175,33)</f>
        <v>0</v>
      </c>
      <c r="G33" s="812">
        <f>HLOOKUP($J$11,'记账凭证汇总'!$D$1:$BC$175,33)</f>
        <v>0</v>
      </c>
      <c r="H33" s="3"/>
      <c r="I33" s="3"/>
      <c r="J33" s="3"/>
    </row>
    <row r="34" spans="1:10" ht="12.75" customHeight="1" hidden="1">
      <c r="A34" s="633" t="s">
        <v>834</v>
      </c>
      <c r="B34" s="837" t="s">
        <v>50</v>
      </c>
      <c r="C34" s="110"/>
      <c r="D34" s="810">
        <f>HLOOKUP($J$7,'记账凭证汇总'!$D$1:$BC$175,34)</f>
        <v>0</v>
      </c>
      <c r="E34" s="811">
        <f>HLOOKUP($J$9,'记账凭证汇总'!$D$1:$BC$175,34)</f>
        <v>0</v>
      </c>
      <c r="F34" s="811">
        <f>HLOOKUP($J$10,'记账凭证汇总'!$D$1:$BC$175,34)</f>
        <v>0</v>
      </c>
      <c r="G34" s="812">
        <f>HLOOKUP($J$11,'记账凭证汇总'!$D$1:$BC$175,34)</f>
        <v>0</v>
      </c>
      <c r="H34" s="3"/>
      <c r="I34" s="3"/>
      <c r="J34" s="3"/>
    </row>
    <row r="35" spans="1:10" ht="12.75" customHeight="1" hidden="1">
      <c r="A35" s="633" t="s">
        <v>836</v>
      </c>
      <c r="B35" s="73" t="s">
        <v>743</v>
      </c>
      <c r="C35" s="112"/>
      <c r="D35" s="810">
        <f>HLOOKUP($J$7,'记账凭证汇总'!$D$1:$BC$175,35)</f>
        <v>0</v>
      </c>
      <c r="E35" s="811">
        <f>HLOOKUP($J$9,'记账凭证汇总'!$D$1:$BC$175,35)</f>
        <v>0</v>
      </c>
      <c r="F35" s="811">
        <f>HLOOKUP($J$10,'记账凭证汇总'!$D$1:$BC$175,35)</f>
        <v>0</v>
      </c>
      <c r="G35" s="812">
        <f>HLOOKUP($J$11,'记账凭证汇总'!$D$1:$BC$175,35)</f>
        <v>0</v>
      </c>
      <c r="H35" s="3"/>
      <c r="I35" s="3"/>
      <c r="J35" s="3"/>
    </row>
    <row r="36" spans="1:10" ht="12.75" customHeight="1" hidden="1">
      <c r="A36" s="633" t="s">
        <v>838</v>
      </c>
      <c r="B36" s="73" t="s">
        <v>723</v>
      </c>
      <c r="C36" s="112"/>
      <c r="D36" s="810">
        <f>HLOOKUP($J$7,'记账凭证汇总'!$D$1:$BC$175,36)</f>
        <v>0</v>
      </c>
      <c r="E36" s="811">
        <f>HLOOKUP($J$9,'记账凭证汇总'!$D$1:$BC$175,36)</f>
        <v>0</v>
      </c>
      <c r="F36" s="811">
        <f>HLOOKUP($J$10,'记账凭证汇总'!$D$1:$BC$175,36)</f>
        <v>0</v>
      </c>
      <c r="G36" s="812">
        <f>HLOOKUP($J$11,'记账凭证汇总'!$D$1:$BC$175,36)</f>
        <v>0</v>
      </c>
      <c r="H36" s="3"/>
      <c r="I36" s="3"/>
      <c r="J36" s="3"/>
    </row>
    <row r="37" spans="1:10" ht="12.75" customHeight="1">
      <c r="A37" s="633" t="s">
        <v>840</v>
      </c>
      <c r="B37" s="113" t="s">
        <v>724</v>
      </c>
      <c r="C37" s="112"/>
      <c r="D37" s="810">
        <f>HLOOKUP($J$7,'记账凭证汇总'!$D$1:$BC$175,37)</f>
        <v>1128931.17</v>
      </c>
      <c r="E37" s="811">
        <f>HLOOKUP($J$9,'记账凭证汇总'!$D$1:$BC$175,37)</f>
        <v>0</v>
      </c>
      <c r="F37" s="811">
        <f>HLOOKUP($J$10,'记账凭证汇总'!$D$1:$BC$175,37)</f>
        <v>0</v>
      </c>
      <c r="G37" s="812">
        <f>HLOOKUP($J$11,'记账凭证汇总'!$D$1:$BC$175,37)</f>
        <v>1128931.17</v>
      </c>
      <c r="H37" s="3"/>
      <c r="I37" s="3"/>
      <c r="J37" s="3"/>
    </row>
    <row r="38" spans="1:10" ht="12.75" customHeight="1">
      <c r="A38" s="633">
        <v>140100</v>
      </c>
      <c r="B38" s="73" t="s">
        <v>719</v>
      </c>
      <c r="C38" s="110"/>
      <c r="D38" s="810">
        <f>HLOOKUP($J$7,'记账凭证汇总'!$D$1:$BC$175,38)</f>
        <v>0</v>
      </c>
      <c r="E38" s="811">
        <f>HLOOKUP($J$9,'记账凭证汇总'!$D$1:$BC$175,38)</f>
        <v>0</v>
      </c>
      <c r="F38" s="811">
        <f>HLOOKUP($J$10,'记账凭证汇总'!$D$1:$BC$175,38)</f>
        <v>0</v>
      </c>
      <c r="G38" s="812">
        <f>HLOOKUP($J$11,'记账凭证汇总'!$D$1:$BC$175,38)</f>
        <v>0</v>
      </c>
      <c r="H38" s="3"/>
      <c r="I38" s="3"/>
      <c r="J38" s="3"/>
    </row>
    <row r="39" spans="1:10" ht="12.75" customHeight="1" hidden="1">
      <c r="A39" s="633" t="s">
        <v>926</v>
      </c>
      <c r="B39" s="73" t="s">
        <v>541</v>
      </c>
      <c r="C39" s="110"/>
      <c r="D39" s="810">
        <f>HLOOKUP($J$7,'记账凭证汇总'!$D$1:$BC$175,39)</f>
        <v>0</v>
      </c>
      <c r="E39" s="811">
        <f>HLOOKUP($J$9,'记账凭证汇总'!$D$1:$BC$175,39)</f>
        <v>0</v>
      </c>
      <c r="F39" s="811">
        <f>HLOOKUP($J$10,'记账凭证汇总'!$D$1:$BC$175,39)</f>
        <v>0</v>
      </c>
      <c r="G39" s="812">
        <f>HLOOKUP($J$11,'记账凭证汇总'!$D$1:$BC$175,39)</f>
        <v>0</v>
      </c>
      <c r="H39" s="3"/>
      <c r="I39" s="3"/>
      <c r="J39" s="3"/>
    </row>
    <row r="40" spans="1:10" ht="12.75" customHeight="1" hidden="1">
      <c r="A40" s="633" t="s">
        <v>927</v>
      </c>
      <c r="B40" s="113" t="s">
        <v>542</v>
      </c>
      <c r="C40" s="110"/>
      <c r="D40" s="810">
        <f>HLOOKUP($J$7,'记账凭证汇总'!$D$1:$BC$175,40)</f>
        <v>0</v>
      </c>
      <c r="E40" s="811">
        <f>HLOOKUP($J$9,'记账凭证汇总'!$D$1:$BC$175,40)</f>
        <v>0</v>
      </c>
      <c r="F40" s="811">
        <f>HLOOKUP($J$10,'记账凭证汇总'!$D$1:$BC$175,40)</f>
        <v>0</v>
      </c>
      <c r="G40" s="812">
        <f>HLOOKUP($J$11,'记账凭证汇总'!$D$1:$BC$175,40)</f>
        <v>0</v>
      </c>
      <c r="H40" s="3"/>
      <c r="I40" s="3"/>
      <c r="J40" s="3"/>
    </row>
    <row r="41" spans="1:10" ht="12.75" customHeight="1" hidden="1">
      <c r="A41" s="633" t="s">
        <v>842</v>
      </c>
      <c r="B41" s="73" t="s">
        <v>722</v>
      </c>
      <c r="C41" s="114"/>
      <c r="D41" s="810">
        <f>HLOOKUP($J$7,'记账凭证汇总'!$D$1:$BC$175,41)</f>
        <v>0</v>
      </c>
      <c r="E41" s="811">
        <f>HLOOKUP($J$9,'记账凭证汇总'!$D$1:$BC$175,41)</f>
        <v>0</v>
      </c>
      <c r="F41" s="811">
        <f>HLOOKUP($J$10,'记账凭证汇总'!$D$1:$BC$175,41)</f>
        <v>0</v>
      </c>
      <c r="G41" s="812">
        <f>HLOOKUP($J$11,'记账凭证汇总'!$D$1:$BC$175,41)</f>
        <v>0</v>
      </c>
      <c r="H41" s="3"/>
      <c r="I41" s="3"/>
      <c r="J41" s="3"/>
    </row>
    <row r="42" spans="1:10" ht="12.75" customHeight="1" hidden="1">
      <c r="A42" s="633" t="s">
        <v>928</v>
      </c>
      <c r="B42" s="73" t="s">
        <v>543</v>
      </c>
      <c r="C42" s="110"/>
      <c r="D42" s="810">
        <f>HLOOKUP($J$7,'记账凭证汇总'!$D$1:$BC$175,42)</f>
        <v>0</v>
      </c>
      <c r="E42" s="811">
        <f>HLOOKUP($J$9,'记账凭证汇总'!$D$1:$BC$175,42)</f>
        <v>0</v>
      </c>
      <c r="F42" s="811">
        <f>HLOOKUP($J$10,'记账凭证汇总'!$D$1:$BC$175,42)</f>
        <v>0</v>
      </c>
      <c r="G42" s="812">
        <f>HLOOKUP($J$11,'记账凭证汇总'!$D$1:$BC$175,42)</f>
        <v>0</v>
      </c>
      <c r="H42" s="3"/>
      <c r="I42" s="3"/>
      <c r="J42" s="3"/>
    </row>
    <row r="43" spans="1:10" ht="12.75" customHeight="1" hidden="1">
      <c r="A43" s="633" t="s">
        <v>929</v>
      </c>
      <c r="B43" s="73" t="s">
        <v>544</v>
      </c>
      <c r="C43" s="112"/>
      <c r="D43" s="810">
        <f>HLOOKUP($J$7,'记账凭证汇总'!$D$1:$BC$175,43)</f>
        <v>0</v>
      </c>
      <c r="E43" s="811">
        <f>HLOOKUP($J$9,'记账凭证汇总'!$D$1:$BC$175,43)</f>
        <v>0</v>
      </c>
      <c r="F43" s="811">
        <f>HLOOKUP($J$10,'记账凭证汇总'!$D$1:$BC$175,43)</f>
        <v>0</v>
      </c>
      <c r="G43" s="812">
        <f>HLOOKUP($J$11,'记账凭证汇总'!$D$1:$BC$175,43)</f>
        <v>0</v>
      </c>
      <c r="H43" s="3"/>
      <c r="I43" s="3"/>
      <c r="J43" s="3"/>
    </row>
    <row r="44" spans="1:10" ht="12.75" customHeight="1">
      <c r="A44" s="633" t="s">
        <v>844</v>
      </c>
      <c r="B44" s="73" t="s">
        <v>732</v>
      </c>
      <c r="C44" s="112"/>
      <c r="D44" s="810">
        <f>HLOOKUP($J$7,'记账凭证汇总'!$D$1:$BC$175,44)</f>
        <v>28596722.229999997</v>
      </c>
      <c r="E44" s="811">
        <f>HLOOKUP($J$9,'记账凭证汇总'!$D$1:$BC$175,44)</f>
        <v>0</v>
      </c>
      <c r="F44" s="811">
        <f>HLOOKUP($J$10,'记账凭证汇总'!$D$1:$BC$175,44)</f>
        <v>0</v>
      </c>
      <c r="G44" s="812">
        <f>HLOOKUP($J$11,'记账凭证汇总'!$D$1:$BC$175,44)</f>
        <v>28596722.229999997</v>
      </c>
      <c r="H44" s="3"/>
      <c r="I44" s="3"/>
      <c r="J44" s="3"/>
    </row>
    <row r="45" spans="1:10" ht="12.75" customHeight="1">
      <c r="A45" s="633" t="s">
        <v>846</v>
      </c>
      <c r="B45" s="73" t="s">
        <v>735</v>
      </c>
      <c r="C45" s="114"/>
      <c r="D45" s="810">
        <f>HLOOKUP($J$7,'记账凭证汇总'!$D$1:$BC$175,45)</f>
        <v>1970538.41</v>
      </c>
      <c r="E45" s="811">
        <f>HLOOKUP($J$9,'记账凭证汇总'!$D$1:$BC$175,45)</f>
        <v>0</v>
      </c>
      <c r="F45" s="811">
        <f>HLOOKUP($J$10,'记账凭证汇总'!$D$1:$BC$175,45)</f>
        <v>0</v>
      </c>
      <c r="G45" s="812">
        <f>HLOOKUP($J$11,'记账凭证汇总'!$D$1:$BC$175,45)</f>
        <v>1970538.41</v>
      </c>
      <c r="H45" s="3"/>
      <c r="I45" s="3"/>
      <c r="J45" s="3"/>
    </row>
    <row r="46" spans="1:10" ht="12.75" customHeight="1" hidden="1">
      <c r="A46" s="633" t="s">
        <v>848</v>
      </c>
      <c r="B46" s="73" t="s">
        <v>731</v>
      </c>
      <c r="C46" s="110"/>
      <c r="D46" s="810">
        <f>HLOOKUP($J$7,'记账凭证汇总'!$D$1:$BC$175,46)</f>
        <v>0</v>
      </c>
      <c r="E46" s="811">
        <f>HLOOKUP($J$9,'记账凭证汇总'!$D$1:$BC$175,46)</f>
        <v>0</v>
      </c>
      <c r="F46" s="811">
        <f>HLOOKUP($J$10,'记账凭证汇总'!$D$1:$BC$175,46)</f>
        <v>0</v>
      </c>
      <c r="G46" s="812">
        <f>HLOOKUP($J$11,'记账凭证汇总'!$D$1:$BC$175,46)</f>
        <v>0</v>
      </c>
      <c r="H46" s="3"/>
      <c r="I46" s="3"/>
      <c r="J46" s="3"/>
    </row>
    <row r="47" spans="1:10" ht="12.75" customHeight="1">
      <c r="A47" s="633" t="s">
        <v>850</v>
      </c>
      <c r="B47" s="73" t="s">
        <v>753</v>
      </c>
      <c r="C47" s="112"/>
      <c r="D47" s="810">
        <f>HLOOKUP($J$7,'记账凭证汇总'!$D$1:$BC$175,47)</f>
        <v>300</v>
      </c>
      <c r="E47" s="811">
        <f>HLOOKUP($J$9,'记账凭证汇总'!$D$1:$BC$175,47)</f>
        <v>0</v>
      </c>
      <c r="F47" s="811">
        <f>HLOOKUP($J$10,'记账凭证汇总'!$D$1:$BC$175,47)</f>
        <v>0</v>
      </c>
      <c r="G47" s="812">
        <f>HLOOKUP($J$11,'记账凭证汇总'!$D$1:$BC$175,47)</f>
        <v>300</v>
      </c>
      <c r="H47" s="3"/>
      <c r="I47" s="3"/>
      <c r="J47" s="3"/>
    </row>
    <row r="48" spans="1:10" ht="12.75" customHeight="1">
      <c r="A48" s="633" t="s">
        <v>930</v>
      </c>
      <c r="B48" s="73" t="s">
        <v>545</v>
      </c>
      <c r="C48" s="115"/>
      <c r="D48" s="810">
        <f>HLOOKUP($J$7,'记账凭证汇总'!$D$1:$BC$175,48)</f>
        <v>0</v>
      </c>
      <c r="E48" s="811">
        <f>HLOOKUP($J$9,'记账凭证汇总'!$D$1:$BC$175,48)</f>
        <v>0</v>
      </c>
      <c r="F48" s="811">
        <f>HLOOKUP($J$10,'记账凭证汇总'!$D$1:$BC$175,48)</f>
        <v>0</v>
      </c>
      <c r="G48" s="812">
        <f>HLOOKUP($J$11,'记账凭证汇总'!$D$1:$BC$175,48)</f>
        <v>0</v>
      </c>
      <c r="H48" s="3"/>
      <c r="I48" s="3"/>
      <c r="J48" s="3"/>
    </row>
    <row r="49" spans="1:10" ht="12.75" customHeight="1" hidden="1">
      <c r="A49" s="633" t="s">
        <v>931</v>
      </c>
      <c r="B49" s="113" t="s">
        <v>546</v>
      </c>
      <c r="C49" s="115"/>
      <c r="D49" s="810">
        <f>HLOOKUP($J$7,'记账凭证汇总'!$D$1:$BC$175,49)</f>
        <v>300</v>
      </c>
      <c r="E49" s="811">
        <f>HLOOKUP($J$9,'记账凭证汇总'!$D$1:$BC$175,49)</f>
        <v>0</v>
      </c>
      <c r="F49" s="811">
        <f>HLOOKUP($J$10,'记账凭证汇总'!$D$1:$BC$175,49)</f>
        <v>0</v>
      </c>
      <c r="G49" s="812">
        <f>HLOOKUP($J$11,'记账凭证汇总'!$D$1:$BC$175,49)</f>
        <v>300</v>
      </c>
      <c r="H49" s="3"/>
      <c r="I49" s="3"/>
      <c r="J49" s="3"/>
    </row>
    <row r="50" spans="1:10" ht="12.75" customHeight="1" hidden="1">
      <c r="A50" s="633" t="s">
        <v>932</v>
      </c>
      <c r="B50" s="73" t="s">
        <v>547</v>
      </c>
      <c r="C50" s="110"/>
      <c r="D50" s="810">
        <f>HLOOKUP($J$7,'记账凭证汇总'!$D$1:$BC$175,50)</f>
        <v>0</v>
      </c>
      <c r="E50" s="811">
        <f>HLOOKUP($J$9,'记账凭证汇总'!$D$1:$BC$175,50)</f>
        <v>0</v>
      </c>
      <c r="F50" s="811">
        <f>HLOOKUP($J$10,'记账凭证汇总'!$D$1:$BC$175,50)</f>
        <v>0</v>
      </c>
      <c r="G50" s="812">
        <f>HLOOKUP($J$11,'记账凭证汇总'!$D$1:$BC$175,50)</f>
        <v>0</v>
      </c>
      <c r="H50" s="3"/>
      <c r="I50" s="3"/>
      <c r="J50" s="3"/>
    </row>
    <row r="51" spans="1:10" ht="12.75" customHeight="1" hidden="1">
      <c r="A51" s="633" t="s">
        <v>933</v>
      </c>
      <c r="B51" s="657" t="s">
        <v>548</v>
      </c>
      <c r="C51" s="110"/>
      <c r="D51" s="810">
        <f>HLOOKUP($J$7,'记账凭证汇总'!$D$1:$BC$175,51)</f>
        <v>0</v>
      </c>
      <c r="E51" s="811">
        <f>HLOOKUP($J$9,'记账凭证汇总'!$D$1:$BC$175,51)</f>
        <v>0</v>
      </c>
      <c r="F51" s="811">
        <f>HLOOKUP($J$10,'记账凭证汇总'!$D$1:$BC$175,51)</f>
        <v>0</v>
      </c>
      <c r="G51" s="812">
        <f>HLOOKUP($J$11,'记账凭证汇总'!$D$1:$BC$175,51)</f>
        <v>0</v>
      </c>
      <c r="H51" s="3"/>
      <c r="I51" s="3"/>
      <c r="J51" s="3"/>
    </row>
    <row r="52" spans="1:10" ht="12.75" customHeight="1">
      <c r="A52" s="633">
        <v>170100</v>
      </c>
      <c r="B52" s="113" t="s">
        <v>733</v>
      </c>
      <c r="C52" s="110"/>
      <c r="D52" s="810">
        <f>HLOOKUP($J$7,'记账凭证汇总'!$D$1:$BC$175,52)</f>
        <v>0</v>
      </c>
      <c r="E52" s="811">
        <f>HLOOKUP($J$9,'记账凭证汇总'!$D$1:$BC$175,52)</f>
        <v>0</v>
      </c>
      <c r="F52" s="811">
        <f>HLOOKUP($J$10,'记账凭证汇总'!$D$1:$BC$175,52)</f>
        <v>0</v>
      </c>
      <c r="G52" s="812">
        <f>HLOOKUP($J$11,'记账凭证汇总'!$D$1:$BC$175,52)</f>
        <v>0</v>
      </c>
      <c r="H52" s="3"/>
      <c r="I52" s="3"/>
      <c r="J52" s="3"/>
    </row>
    <row r="53" spans="1:10" ht="12.75" customHeight="1">
      <c r="A53" s="633" t="s">
        <v>852</v>
      </c>
      <c r="B53" s="113" t="s">
        <v>51</v>
      </c>
      <c r="C53" s="110"/>
      <c r="D53" s="810">
        <f>HLOOKUP($J$7,'记账凭证汇总'!$D$1:$BC$175,53)</f>
        <v>0</v>
      </c>
      <c r="E53" s="811">
        <f>HLOOKUP($J$9,'记账凭证汇总'!$D$1:$BC$175,53)</f>
        <v>0</v>
      </c>
      <c r="F53" s="811">
        <f>HLOOKUP($J$10,'记账凭证汇总'!$D$1:$BC$175,53)</f>
        <v>0</v>
      </c>
      <c r="G53" s="812">
        <f>HLOOKUP($J$11,'记账凭证汇总'!$D$1:$BC$175,53)</f>
        <v>0</v>
      </c>
      <c r="H53" s="3"/>
      <c r="I53" s="3"/>
      <c r="J53" s="3"/>
    </row>
    <row r="54" spans="1:10" ht="12.75" customHeight="1">
      <c r="A54" s="633" t="s">
        <v>854</v>
      </c>
      <c r="B54" s="113" t="s">
        <v>52</v>
      </c>
      <c r="C54" s="110"/>
      <c r="D54" s="810">
        <f>HLOOKUP($J$7,'记账凭证汇总'!$D$1:$BC$175,54)</f>
        <v>0</v>
      </c>
      <c r="E54" s="811">
        <f>HLOOKUP($J$9,'记账凭证汇总'!$D$1:$BC$175,54)</f>
        <v>0</v>
      </c>
      <c r="F54" s="811">
        <f>HLOOKUP($J$10,'记账凭证汇总'!$D$1:$BC$175,54)</f>
        <v>0</v>
      </c>
      <c r="G54" s="812">
        <f>HLOOKUP($J$11,'记账凭证汇总'!$D$1:$BC$175,54)</f>
        <v>0</v>
      </c>
      <c r="H54" s="3"/>
      <c r="I54" s="3"/>
      <c r="J54" s="3"/>
    </row>
    <row r="55" spans="1:10" ht="12.75" customHeight="1">
      <c r="A55" s="633" t="s">
        <v>856</v>
      </c>
      <c r="B55" s="657" t="s">
        <v>727</v>
      </c>
      <c r="C55" s="116"/>
      <c r="D55" s="810">
        <f>HLOOKUP($J$7,'记账凭证汇总'!$D$1:$BC$175,55)</f>
        <v>21033772</v>
      </c>
      <c r="E55" s="811">
        <f>HLOOKUP($J$9,'记账凭证汇总'!$D$1:$BC$175,55)</f>
        <v>0</v>
      </c>
      <c r="F55" s="811">
        <f>HLOOKUP($J$10,'记账凭证汇总'!$D$1:$BC$175,55)</f>
        <v>0</v>
      </c>
      <c r="G55" s="812">
        <f>HLOOKUP($J$11,'记账凭证汇总'!$D$1:$BC$175,55)</f>
        <v>21033772</v>
      </c>
      <c r="H55" s="3"/>
      <c r="I55" s="3"/>
      <c r="J55" s="3"/>
    </row>
    <row r="56" spans="1:10" ht="12.75" customHeight="1">
      <c r="A56" s="633" t="s">
        <v>858</v>
      </c>
      <c r="B56" s="657" t="s">
        <v>746</v>
      </c>
      <c r="C56" s="110"/>
      <c r="D56" s="810">
        <f>HLOOKUP($J$7,'记账凭证汇总'!$D$1:$BC$175,56)</f>
        <v>4300000</v>
      </c>
      <c r="E56" s="811">
        <f>HLOOKUP($J$9,'记账凭证汇总'!$D$1:$BC$175,56)</f>
        <v>0</v>
      </c>
      <c r="F56" s="811">
        <f>HLOOKUP($J$10,'记账凭证汇总'!$D$1:$BC$175,56)</f>
        <v>0</v>
      </c>
      <c r="G56" s="812">
        <f>HLOOKUP($J$11,'记账凭证汇总'!$D$1:$BC$175,56)</f>
        <v>4300000</v>
      </c>
      <c r="H56" s="3"/>
      <c r="I56" s="3"/>
      <c r="J56" s="3"/>
    </row>
    <row r="57" spans="1:10" ht="12.75" customHeight="1">
      <c r="A57" s="633" t="s">
        <v>860</v>
      </c>
      <c r="B57" s="657" t="s">
        <v>762</v>
      </c>
      <c r="C57" s="110"/>
      <c r="D57" s="810">
        <f>HLOOKUP($J$7,'记账凭证汇总'!$D$1:$BC$175,57)</f>
        <v>0</v>
      </c>
      <c r="E57" s="811">
        <f>HLOOKUP($J$9,'记账凭证汇总'!$D$1:$BC$175,57)</f>
        <v>0</v>
      </c>
      <c r="F57" s="811">
        <f>HLOOKUP($J$10,'记账凭证汇总'!$D$1:$BC$175,57)</f>
        <v>0</v>
      </c>
      <c r="G57" s="812">
        <f>HLOOKUP($J$11,'记账凭证汇总'!$D$1:$BC$175,57)</f>
        <v>0</v>
      </c>
      <c r="H57" s="3"/>
      <c r="I57" s="3"/>
      <c r="J57" s="3"/>
    </row>
    <row r="58" spans="1:10" ht="12.75" customHeight="1">
      <c r="A58" s="633" t="s">
        <v>862</v>
      </c>
      <c r="B58" s="838" t="s">
        <v>745</v>
      </c>
      <c r="C58" s="110"/>
      <c r="D58" s="810">
        <f>HLOOKUP($J$7,'记账凭证汇总'!$D$1:$BC$175,58)</f>
        <v>92915.58</v>
      </c>
      <c r="E58" s="811">
        <f>HLOOKUP($J$9,'记账凭证汇总'!$D$1:$BC$175,58)</f>
        <v>0</v>
      </c>
      <c r="F58" s="811">
        <f>HLOOKUP($J$10,'记账凭证汇总'!$D$1:$BC$175,58)</f>
        <v>0</v>
      </c>
      <c r="G58" s="812">
        <f>HLOOKUP($J$11,'记账凭证汇总'!$D$1:$BC$175,58)</f>
        <v>92915.58</v>
      </c>
      <c r="H58" s="3"/>
      <c r="I58" s="3"/>
      <c r="J58" s="3"/>
    </row>
    <row r="59" spans="1:10" ht="12.75" customHeight="1">
      <c r="A59" s="633">
        <v>215300</v>
      </c>
      <c r="B59" s="657" t="s">
        <v>744</v>
      </c>
      <c r="C59" s="112"/>
      <c r="D59" s="810">
        <f>HLOOKUP($J$7,'记账凭证汇总'!$D$1:$BC$175,59)</f>
        <v>0</v>
      </c>
      <c r="E59" s="811">
        <f>HLOOKUP($J$9,'记账凭证汇总'!$D$1:$BC$175,59)</f>
        <v>0</v>
      </c>
      <c r="F59" s="811">
        <f>HLOOKUP($J$10,'记账凭证汇总'!$D$1:$BC$175,59)</f>
        <v>0</v>
      </c>
      <c r="G59" s="812">
        <f>HLOOKUP($J$11,'记账凭证汇总'!$D$1:$BC$175,59)</f>
        <v>0</v>
      </c>
      <c r="H59" s="3"/>
      <c r="I59" s="3"/>
      <c r="J59" s="3"/>
    </row>
    <row r="60" spans="1:10" ht="12.75" customHeight="1" hidden="1">
      <c r="A60" s="633" t="s">
        <v>864</v>
      </c>
      <c r="B60" s="73" t="s">
        <v>550</v>
      </c>
      <c r="C60" s="112"/>
      <c r="D60" s="810">
        <f>HLOOKUP($J$7,'记账凭证汇总'!$D$1:$BC$175,60)</f>
        <v>0</v>
      </c>
      <c r="E60" s="811">
        <f>HLOOKUP($J$9,'记账凭证汇总'!$D$1:$BC$175,60)</f>
        <v>0</v>
      </c>
      <c r="F60" s="811">
        <f>HLOOKUP($J$10,'记账凭证汇总'!$D$1:$BC$175,60)</f>
        <v>0</v>
      </c>
      <c r="G60" s="812">
        <f>HLOOKUP($J$11,'记账凭证汇总'!$D$1:$BC$175,60)</f>
        <v>0</v>
      </c>
      <c r="H60" s="3"/>
      <c r="I60" s="3"/>
      <c r="J60" s="3"/>
    </row>
    <row r="61" spans="1:10" ht="12.75" customHeight="1">
      <c r="A61" s="633" t="s">
        <v>866</v>
      </c>
      <c r="B61" s="73" t="s">
        <v>747</v>
      </c>
      <c r="C61" s="112"/>
      <c r="D61" s="810">
        <f>HLOOKUP($J$7,'记账凭证汇总'!$D$1:$BC$175,61)</f>
        <v>470</v>
      </c>
      <c r="E61" s="811">
        <f>HLOOKUP($J$9,'记账凭证汇总'!$D$1:$BC$175,61)</f>
        <v>0</v>
      </c>
      <c r="F61" s="811">
        <f>HLOOKUP($J$10,'记账凭证汇总'!$D$1:$BC$175,61)</f>
        <v>0</v>
      </c>
      <c r="G61" s="812">
        <f>HLOOKUP($J$11,'记账凭证汇总'!$D$1:$BC$175,61)</f>
        <v>470</v>
      </c>
      <c r="H61" s="3"/>
      <c r="I61" s="3"/>
      <c r="J61" s="3"/>
    </row>
    <row r="62" spans="1:10" ht="12.75" customHeight="1" hidden="1">
      <c r="A62" s="633" t="s">
        <v>934</v>
      </c>
      <c r="B62" s="73" t="s">
        <v>551</v>
      </c>
      <c r="C62" s="112"/>
      <c r="D62" s="810">
        <f>HLOOKUP($J$7,'记账凭证汇总'!$D$1:$BC$175,62)</f>
        <v>0</v>
      </c>
      <c r="E62" s="811">
        <f>HLOOKUP($J$9,'记账凭证汇总'!$D$1:$BC$175,62)</f>
        <v>0</v>
      </c>
      <c r="F62" s="811">
        <f>HLOOKUP($J$10,'记账凭证汇总'!$D$1:$BC$175,62)</f>
        <v>0</v>
      </c>
      <c r="G62" s="812">
        <f>HLOOKUP($J$11,'记账凭证汇总'!$D$1:$BC$175,62)</f>
        <v>0</v>
      </c>
      <c r="H62" s="3"/>
      <c r="I62" s="3"/>
      <c r="J62" s="3"/>
    </row>
    <row r="63" spans="1:10" ht="12.75" customHeight="1" hidden="1">
      <c r="A63" s="633" t="s">
        <v>935</v>
      </c>
      <c r="B63" s="73" t="s">
        <v>561</v>
      </c>
      <c r="C63" s="110"/>
      <c r="D63" s="810">
        <f>HLOOKUP($J$7,'记账凭证汇总'!$D$1:$BC$175,63)</f>
        <v>0</v>
      </c>
      <c r="E63" s="811">
        <f>HLOOKUP($J$9,'记账凭证汇总'!$D$1:$BC$175,63)</f>
        <v>0</v>
      </c>
      <c r="F63" s="811">
        <f>HLOOKUP($J$10,'记账凭证汇总'!$D$1:$BC$175,63)</f>
        <v>0</v>
      </c>
      <c r="G63" s="812">
        <f>HLOOKUP($J$11,'记账凭证汇总'!$D$1:$BC$175,63)</f>
        <v>0</v>
      </c>
      <c r="H63" s="3"/>
      <c r="I63" s="3"/>
      <c r="J63" s="3"/>
    </row>
    <row r="64" spans="1:10" ht="12.75" customHeight="1" hidden="1">
      <c r="A64" s="633" t="s">
        <v>936</v>
      </c>
      <c r="B64" s="73" t="s">
        <v>562</v>
      </c>
      <c r="C64" s="112"/>
      <c r="D64" s="810">
        <f>HLOOKUP($J$7,'记账凭证汇总'!$D$1:$BC$175,64)</f>
        <v>0</v>
      </c>
      <c r="E64" s="811">
        <f>HLOOKUP($J$9,'记账凭证汇总'!$D$1:$BC$175,64)</f>
        <v>0</v>
      </c>
      <c r="F64" s="811">
        <f>HLOOKUP($J$10,'记账凭证汇总'!$D$1:$BC$175,64)</f>
        <v>0</v>
      </c>
      <c r="G64" s="812">
        <f>HLOOKUP($J$11,'记账凭证汇总'!$D$1:$BC$175,64)</f>
        <v>0</v>
      </c>
      <c r="H64" s="3"/>
      <c r="I64" s="3"/>
      <c r="J64" s="3"/>
    </row>
    <row r="65" spans="1:10" ht="12.75" customHeight="1" hidden="1">
      <c r="A65" s="633" t="s">
        <v>937</v>
      </c>
      <c r="B65" s="132" t="s">
        <v>563</v>
      </c>
      <c r="C65" s="110"/>
      <c r="D65" s="810">
        <f>HLOOKUP($J$7,'记账凭证汇总'!$D$1:$BC$175,65)</f>
        <v>0</v>
      </c>
      <c r="E65" s="811">
        <f>HLOOKUP($J$9,'记账凭证汇总'!$D$1:$BC$175,65)</f>
        <v>0</v>
      </c>
      <c r="F65" s="811">
        <f>HLOOKUP($J$10,'记账凭证汇总'!$D$1:$BC$175,65)</f>
        <v>0</v>
      </c>
      <c r="G65" s="812">
        <f>HLOOKUP($J$11,'记账凭证汇总'!$D$1:$BC$175,65)</f>
        <v>0</v>
      </c>
      <c r="H65" s="3"/>
      <c r="I65" s="3"/>
      <c r="J65" s="3"/>
    </row>
    <row r="66" spans="1:10" ht="12.75" customHeight="1" hidden="1">
      <c r="A66" s="633" t="s">
        <v>938</v>
      </c>
      <c r="B66" s="73" t="s">
        <v>564</v>
      </c>
      <c r="C66" s="112"/>
      <c r="D66" s="810">
        <f>HLOOKUP($J$7,'记账凭证汇总'!$D$1:$BC$175,66)</f>
        <v>0</v>
      </c>
      <c r="E66" s="811">
        <f>HLOOKUP($J$9,'记账凭证汇总'!$D$1:$BC$175,66)</f>
        <v>0</v>
      </c>
      <c r="F66" s="811">
        <f>HLOOKUP($J$10,'记账凭证汇总'!$D$1:$BC$175,66)</f>
        <v>0</v>
      </c>
      <c r="G66" s="812">
        <f>HLOOKUP($J$11,'记账凭证汇总'!$D$1:$BC$175,66)</f>
        <v>0</v>
      </c>
      <c r="H66" s="3"/>
      <c r="I66" s="3"/>
      <c r="J66" s="3"/>
    </row>
    <row r="67" spans="1:10" ht="12.75" customHeight="1" hidden="1">
      <c r="A67" s="633" t="s">
        <v>939</v>
      </c>
      <c r="B67" s="73" t="s">
        <v>565</v>
      </c>
      <c r="C67" s="112"/>
      <c r="D67" s="810">
        <f>HLOOKUP($J$7,'记账凭证汇总'!$D$1:$BC$175,67)</f>
        <v>0</v>
      </c>
      <c r="E67" s="811">
        <f>HLOOKUP($J$9,'记账凭证汇总'!$D$1:$BC$175,67)</f>
        <v>0</v>
      </c>
      <c r="F67" s="811">
        <f>HLOOKUP($J$10,'记账凭证汇总'!$D$1:$BC$175,67)</f>
        <v>0</v>
      </c>
      <c r="G67" s="812">
        <f>HLOOKUP($J$11,'记账凭证汇总'!$D$1:$BC$175,67)</f>
        <v>0</v>
      </c>
      <c r="H67" s="3"/>
      <c r="I67" s="3"/>
      <c r="J67" s="3"/>
    </row>
    <row r="68" spans="1:10" ht="12.75" customHeight="1" hidden="1">
      <c r="A68" s="633" t="s">
        <v>940</v>
      </c>
      <c r="B68" s="132" t="s">
        <v>566</v>
      </c>
      <c r="C68" s="112"/>
      <c r="D68" s="810">
        <f>HLOOKUP($J$7,'记账凭证汇总'!$D$1:$BC$175,68)</f>
        <v>0</v>
      </c>
      <c r="E68" s="811">
        <f>HLOOKUP($J$9,'记账凭证汇总'!$D$1:$BC$175,68)</f>
        <v>0</v>
      </c>
      <c r="F68" s="811">
        <f>HLOOKUP($J$10,'记账凭证汇总'!$D$1:$BC$175,68)</f>
        <v>0</v>
      </c>
      <c r="G68" s="812">
        <f>HLOOKUP($J$11,'记账凭证汇总'!$D$1:$BC$175,68)</f>
        <v>0</v>
      </c>
      <c r="H68" s="3"/>
      <c r="I68" s="3"/>
      <c r="J68" s="3"/>
    </row>
    <row r="69" spans="1:10" ht="12.75" customHeight="1" hidden="1">
      <c r="A69" s="633" t="s">
        <v>941</v>
      </c>
      <c r="B69" s="73" t="s">
        <v>567</v>
      </c>
      <c r="C69" s="112"/>
      <c r="D69" s="810">
        <f>HLOOKUP($J$7,'记账凭证汇总'!$D$1:$BC$175,69)</f>
        <v>0</v>
      </c>
      <c r="E69" s="811">
        <f>HLOOKUP($J$9,'记账凭证汇总'!$D$1:$BC$175,69)</f>
        <v>0</v>
      </c>
      <c r="F69" s="811">
        <f>HLOOKUP($J$10,'记账凭证汇总'!$D$1:$BC$175,69)</f>
        <v>0</v>
      </c>
      <c r="G69" s="812">
        <f>HLOOKUP($J$11,'记账凭证汇总'!$D$1:$BC$175,69)</f>
        <v>0</v>
      </c>
      <c r="H69" s="3"/>
      <c r="I69" s="3"/>
      <c r="J69" s="3"/>
    </row>
    <row r="70" spans="1:10" ht="12.75" customHeight="1" hidden="1">
      <c r="A70" s="633" t="s">
        <v>942</v>
      </c>
      <c r="B70" s="73" t="s">
        <v>568</v>
      </c>
      <c r="C70" s="112"/>
      <c r="D70" s="810">
        <f>HLOOKUP($J$7,'记账凭证汇总'!$D$1:$BC$175,70)</f>
        <v>0</v>
      </c>
      <c r="E70" s="811">
        <f>HLOOKUP($J$9,'记账凭证汇总'!$D$1:$BC$175,70)</f>
        <v>0</v>
      </c>
      <c r="F70" s="811">
        <f>HLOOKUP($J$10,'记账凭证汇总'!$D$1:$BC$175,70)</f>
        <v>0</v>
      </c>
      <c r="G70" s="812">
        <f>HLOOKUP($J$11,'记账凭证汇总'!$D$1:$BC$175,70)</f>
        <v>0</v>
      </c>
      <c r="H70" s="3"/>
      <c r="I70" s="3"/>
      <c r="J70" s="3"/>
    </row>
    <row r="71" spans="1:10" ht="12.75" customHeight="1" hidden="1">
      <c r="A71" s="633" t="s">
        <v>943</v>
      </c>
      <c r="B71" s="73" t="s">
        <v>569</v>
      </c>
      <c r="C71" s="110"/>
      <c r="D71" s="810">
        <f>HLOOKUP($J$7,'记账凭证汇总'!$D$1:$BC$175,71)</f>
        <v>0</v>
      </c>
      <c r="E71" s="811">
        <f>HLOOKUP($J$9,'记账凭证汇总'!$D$1:$BC$175,71)</f>
        <v>0</v>
      </c>
      <c r="F71" s="811">
        <f>HLOOKUP($J$10,'记账凭证汇总'!$D$1:$BC$175,71)</f>
        <v>0</v>
      </c>
      <c r="G71" s="812">
        <f>HLOOKUP($J$11,'记账凭证汇总'!$D$1:$BC$175,71)</f>
        <v>0</v>
      </c>
      <c r="H71" s="3"/>
      <c r="I71" s="3"/>
      <c r="J71" s="3"/>
    </row>
    <row r="72" spans="1:10" ht="12.75" customHeight="1" hidden="1">
      <c r="A72" s="633" t="s">
        <v>944</v>
      </c>
      <c r="B72" s="837" t="s">
        <v>570</v>
      </c>
      <c r="C72" s="110"/>
      <c r="D72" s="810">
        <f>HLOOKUP($J$7,'记账凭证汇总'!$D$1:$BC$175,72)</f>
        <v>470</v>
      </c>
      <c r="E72" s="811">
        <f>HLOOKUP($J$9,'记账凭证汇总'!$D$1:$BC$175,72)</f>
        <v>0</v>
      </c>
      <c r="F72" s="811">
        <f>HLOOKUP($J$10,'记账凭证汇总'!$D$1:$BC$175,72)</f>
        <v>0</v>
      </c>
      <c r="G72" s="812">
        <f>HLOOKUP($J$11,'记账凭证汇总'!$D$1:$BC$175,72)</f>
        <v>470</v>
      </c>
      <c r="H72" s="3"/>
      <c r="I72" s="3"/>
      <c r="J72" s="3"/>
    </row>
    <row r="73" spans="1:10" ht="12.75" customHeight="1">
      <c r="A73" s="633" t="s">
        <v>868</v>
      </c>
      <c r="B73" s="73" t="s">
        <v>369</v>
      </c>
      <c r="C73" s="112"/>
      <c r="D73" s="810">
        <f>HLOOKUP($J$7,'记账凭证汇总'!$D$1:$BC$175,73)</f>
        <v>0</v>
      </c>
      <c r="E73" s="811">
        <f>HLOOKUP($J$9,'记账凭证汇总'!$D$1:$BC$175,73)</f>
        <v>0</v>
      </c>
      <c r="F73" s="811">
        <f>HLOOKUP($J$10,'记账凭证汇总'!$D$1:$BC$175,73)</f>
        <v>0</v>
      </c>
      <c r="G73" s="812">
        <f>HLOOKUP($J$11,'记账凭证汇总'!$D$1:$BC$175,73)</f>
        <v>0</v>
      </c>
      <c r="H73" s="3"/>
      <c r="I73" s="3"/>
      <c r="J73" s="3"/>
    </row>
    <row r="74" spans="1:10" ht="12.75" customHeight="1">
      <c r="A74" s="633">
        <v>218100</v>
      </c>
      <c r="B74" s="73" t="s">
        <v>692</v>
      </c>
      <c r="C74" s="110"/>
      <c r="D74" s="810">
        <f>HLOOKUP($J$7,'记账凭证汇总'!$D$1:$BC$175,74)</f>
        <v>5990309.940000005</v>
      </c>
      <c r="E74" s="811">
        <f>HLOOKUP($J$9,'记账凭证汇总'!$D$1:$BC$175,74)</f>
        <v>0</v>
      </c>
      <c r="F74" s="811">
        <f>HLOOKUP($J$10,'记账凭证汇总'!$D$1:$BC$175,74)</f>
        <v>0</v>
      </c>
      <c r="G74" s="812">
        <f>HLOOKUP($J$11,'记账凭证汇总'!$D$1:$BC$175,74)</f>
        <v>5990309.940000005</v>
      </c>
      <c r="H74" s="3"/>
      <c r="I74" s="3"/>
      <c r="J74" s="3"/>
    </row>
    <row r="75" spans="1:10" ht="12.75" customHeight="1">
      <c r="A75" s="633">
        <v>219100</v>
      </c>
      <c r="B75" s="837" t="s">
        <v>752</v>
      </c>
      <c r="C75" s="110"/>
      <c r="D75" s="810">
        <f>HLOOKUP($J$7,'记账凭证汇总'!$D$1:$BC$175,75)</f>
        <v>0</v>
      </c>
      <c r="E75" s="811">
        <f>HLOOKUP($J$9,'记账凭证汇总'!$D$1:$BC$175,75)</f>
        <v>0</v>
      </c>
      <c r="F75" s="811">
        <f>HLOOKUP($J$10,'记账凭证汇总'!$D$1:$BC$175,75)</f>
        <v>0</v>
      </c>
      <c r="G75" s="812">
        <f>HLOOKUP($J$11,'记账凭证汇总'!$D$1:$BC$175,75)</f>
        <v>0</v>
      </c>
      <c r="H75" s="3"/>
      <c r="I75" s="3"/>
      <c r="J75" s="3"/>
    </row>
    <row r="76" spans="1:10" ht="12.75" customHeight="1" hidden="1">
      <c r="A76" s="633" t="s">
        <v>870</v>
      </c>
      <c r="B76" s="837" t="s">
        <v>725</v>
      </c>
      <c r="C76" s="110"/>
      <c r="D76" s="810">
        <f>HLOOKUP($J$7,'记账凭证汇总'!$D$1:$BC$175,76)</f>
        <v>0</v>
      </c>
      <c r="E76" s="811">
        <f>HLOOKUP($J$9,'记账凭证汇总'!$D$1:$BC$175,76)</f>
        <v>0</v>
      </c>
      <c r="F76" s="811">
        <f>HLOOKUP($J$10,'记账凭证汇总'!$D$1:$BC$175,76)</f>
        <v>0</v>
      </c>
      <c r="G76" s="812">
        <f>HLOOKUP($J$11,'记账凭证汇总'!$D$1:$BC$175,76)</f>
        <v>0</v>
      </c>
      <c r="H76" s="3"/>
      <c r="I76" s="3"/>
      <c r="J76" s="3"/>
    </row>
    <row r="77" spans="1:10" ht="12.75" customHeight="1" hidden="1">
      <c r="A77" s="633" t="s">
        <v>945</v>
      </c>
      <c r="B77" s="117" t="s">
        <v>571</v>
      </c>
      <c r="C77" s="110"/>
      <c r="D77" s="810">
        <f>HLOOKUP($J$7,'记账凭证汇总'!$D$1:$BC$175,77)</f>
        <v>0</v>
      </c>
      <c r="E77" s="811">
        <f>HLOOKUP($J$9,'记账凭证汇总'!$D$1:$BC$175,77)</f>
        <v>0</v>
      </c>
      <c r="F77" s="811">
        <f>HLOOKUP($J$10,'记账凭证汇总'!$D$1:$BC$175,77)</f>
        <v>0</v>
      </c>
      <c r="G77" s="812">
        <f>HLOOKUP($J$11,'记账凭证汇总'!$D$1:$BC$175,77)</f>
        <v>0</v>
      </c>
      <c r="H77" s="3"/>
      <c r="I77" s="3"/>
      <c r="J77" s="3"/>
    </row>
    <row r="78" spans="1:10" ht="12.75" customHeight="1" hidden="1">
      <c r="A78" s="633" t="s">
        <v>946</v>
      </c>
      <c r="B78" s="837" t="s">
        <v>572</v>
      </c>
      <c r="C78" s="110"/>
      <c r="D78" s="810">
        <f>HLOOKUP($J$7,'记账凭证汇总'!$D$1:$BC$175,78)</f>
        <v>0</v>
      </c>
      <c r="E78" s="811">
        <f>HLOOKUP($J$9,'记账凭证汇总'!$D$1:$BC$175,78)</f>
        <v>0</v>
      </c>
      <c r="F78" s="811">
        <f>HLOOKUP($J$10,'记账凭证汇总'!$D$1:$BC$175,78)</f>
        <v>0</v>
      </c>
      <c r="G78" s="812">
        <f>HLOOKUP($J$11,'记账凭证汇总'!$D$1:$BC$175,78)</f>
        <v>0</v>
      </c>
      <c r="H78" s="3"/>
      <c r="I78" s="3"/>
      <c r="J78" s="3"/>
    </row>
    <row r="79" spans="1:10" ht="12.75" customHeight="1">
      <c r="A79" s="552" t="s">
        <v>872</v>
      </c>
      <c r="B79" s="73" t="s">
        <v>720</v>
      </c>
      <c r="C79" s="112"/>
      <c r="D79" s="810">
        <f>HLOOKUP($J$7,'记账凭证汇总'!$D$1:$BC$175,79)</f>
        <v>0</v>
      </c>
      <c r="E79" s="811">
        <f>HLOOKUP($J$9,'记账凭证汇总'!$D$1:$BC$175,79)</f>
        <v>0</v>
      </c>
      <c r="F79" s="811">
        <f>HLOOKUP($J$10,'记账凭证汇总'!$D$1:$BC$175,79)</f>
        <v>0</v>
      </c>
      <c r="G79" s="812">
        <f>HLOOKUP($J$11,'记账凭证汇总'!$D$1:$BC$175,79)</f>
        <v>0</v>
      </c>
      <c r="H79" s="3"/>
      <c r="I79" s="3"/>
      <c r="J79" s="3"/>
    </row>
    <row r="80" spans="1:10" ht="12.75" customHeight="1">
      <c r="A80" s="552" t="s">
        <v>874</v>
      </c>
      <c r="B80" s="117" t="s">
        <v>721</v>
      </c>
      <c r="C80" s="112"/>
      <c r="D80" s="810">
        <f>HLOOKUP($J$7,'记账凭证汇总'!$D$1:$BC$175,80)</f>
        <v>0</v>
      </c>
      <c r="E80" s="811">
        <f>HLOOKUP($J$9,'记账凭证汇总'!$D$1:$BC$175,80)</f>
        <v>0</v>
      </c>
      <c r="F80" s="811">
        <f>HLOOKUP($J$10,'记账凭证汇总'!$D$1:$BC$175,80)</f>
        <v>0</v>
      </c>
      <c r="G80" s="812">
        <f>HLOOKUP($J$11,'记账凭证汇总'!$D$1:$BC$175,80)</f>
        <v>0</v>
      </c>
      <c r="H80" s="3"/>
      <c r="I80" s="3"/>
      <c r="J80" s="3"/>
    </row>
    <row r="81" spans="1:10" ht="12.75" customHeight="1">
      <c r="A81" s="552" t="s">
        <v>876</v>
      </c>
      <c r="B81" s="117" t="s">
        <v>740</v>
      </c>
      <c r="C81" s="112"/>
      <c r="D81" s="810">
        <f>HLOOKUP($J$7,'记账凭证汇总'!$D$1:$BC$175,81)</f>
        <v>3000000</v>
      </c>
      <c r="E81" s="811">
        <f>HLOOKUP($J$9,'记账凭证汇总'!$D$1:$BC$175,81)</f>
        <v>0</v>
      </c>
      <c r="F81" s="811">
        <f>HLOOKUP($J$10,'记账凭证汇总'!$D$1:$BC$175,81)</f>
        <v>0</v>
      </c>
      <c r="G81" s="812">
        <f>HLOOKUP($J$11,'记账凭证汇总'!$D$1:$BC$175,81)</f>
        <v>3000000</v>
      </c>
      <c r="H81" s="3"/>
      <c r="I81" s="3"/>
      <c r="J81" s="3"/>
    </row>
    <row r="82" spans="1:10" ht="12.75" customHeight="1" hidden="1">
      <c r="A82" s="552" t="s">
        <v>878</v>
      </c>
      <c r="B82" s="117" t="s">
        <v>757</v>
      </c>
      <c r="C82" s="112"/>
      <c r="D82" s="810">
        <f>HLOOKUP($J$7,'记账凭证汇总'!$D$1:$BC$175,82)</f>
        <v>0</v>
      </c>
      <c r="E82" s="811">
        <f>HLOOKUP($J$9,'记账凭证汇总'!$D$1:$BC$175,82)</f>
        <v>0</v>
      </c>
      <c r="F82" s="811">
        <f>HLOOKUP($J$10,'记账凭证汇总'!$D$1:$BC$175,82)</f>
        <v>0</v>
      </c>
      <c r="G82" s="812">
        <f>HLOOKUP($J$11,'记账凭证汇总'!$D$1:$BC$175,82)</f>
        <v>0</v>
      </c>
      <c r="H82" s="3"/>
      <c r="I82" s="3"/>
      <c r="J82" s="3"/>
    </row>
    <row r="83" spans="1:10" ht="12.75" customHeight="1" hidden="1">
      <c r="A83" s="552" t="s">
        <v>947</v>
      </c>
      <c r="B83" s="117" t="s">
        <v>574</v>
      </c>
      <c r="C83" s="112"/>
      <c r="D83" s="810">
        <f>HLOOKUP($J$7,'记账凭证汇总'!$D$1:$BC$175,83)</f>
        <v>0</v>
      </c>
      <c r="E83" s="811">
        <f>HLOOKUP($J$9,'记账凭证汇总'!$D$1:$BC$175,83)</f>
        <v>0</v>
      </c>
      <c r="F83" s="811">
        <f>HLOOKUP($J$10,'记账凭证汇总'!$D$1:$BC$175,83)</f>
        <v>0</v>
      </c>
      <c r="G83" s="812">
        <f>HLOOKUP($J$11,'记账凭证汇总'!$D$1:$BC$175,83)</f>
        <v>0</v>
      </c>
      <c r="H83" s="3"/>
      <c r="I83" s="3"/>
      <c r="J83" s="3"/>
    </row>
    <row r="84" spans="1:10" ht="12.75" customHeight="1" hidden="1">
      <c r="A84" s="552" t="s">
        <v>948</v>
      </c>
      <c r="B84" s="117" t="s">
        <v>575</v>
      </c>
      <c r="C84" s="112"/>
      <c r="D84" s="810">
        <f>HLOOKUP($J$7,'记账凭证汇总'!$D$1:$BC$175,84)</f>
        <v>0</v>
      </c>
      <c r="E84" s="811">
        <f>HLOOKUP($J$9,'记账凭证汇总'!$D$1:$BC$175,84)</f>
        <v>0</v>
      </c>
      <c r="F84" s="811">
        <f>HLOOKUP($J$10,'记账凭证汇总'!$D$1:$BC$175,84)</f>
        <v>0</v>
      </c>
      <c r="G84" s="812">
        <f>HLOOKUP($J$11,'记账凭证汇总'!$D$1:$BC$175,84)</f>
        <v>0</v>
      </c>
      <c r="H84" s="3"/>
      <c r="I84" s="3"/>
      <c r="J84" s="3"/>
    </row>
    <row r="85" spans="1:10" ht="12.75" customHeight="1" hidden="1">
      <c r="A85" s="552" t="s">
        <v>949</v>
      </c>
      <c r="B85" s="117" t="s">
        <v>576</v>
      </c>
      <c r="C85" s="112"/>
      <c r="D85" s="810">
        <f>HLOOKUP($J$7,'记账凭证汇总'!$D$1:$BC$175,85)</f>
        <v>0</v>
      </c>
      <c r="E85" s="811">
        <f>HLOOKUP($J$9,'记账凭证汇总'!$D$1:$BC$175,85)</f>
        <v>0</v>
      </c>
      <c r="F85" s="811">
        <f>HLOOKUP($J$10,'记账凭证汇总'!$D$1:$BC$175,85)</f>
        <v>0</v>
      </c>
      <c r="G85" s="812">
        <f>HLOOKUP($J$11,'记账凭证汇总'!$D$1:$BC$175,85)</f>
        <v>0</v>
      </c>
      <c r="H85" s="3"/>
      <c r="I85" s="3"/>
      <c r="J85" s="3"/>
    </row>
    <row r="86" spans="1:10" ht="12.75" customHeight="1" hidden="1">
      <c r="A86" s="552" t="s">
        <v>950</v>
      </c>
      <c r="B86" s="117" t="s">
        <v>577</v>
      </c>
      <c r="C86" s="112"/>
      <c r="D86" s="810">
        <f>HLOOKUP($J$7,'记账凭证汇总'!$D$1:$BC$175,86)</f>
        <v>0</v>
      </c>
      <c r="E86" s="811">
        <f>HLOOKUP($J$9,'记账凭证汇总'!$D$1:$BC$175,86)</f>
        <v>0</v>
      </c>
      <c r="F86" s="811">
        <f>HLOOKUP($J$10,'记账凭证汇总'!$D$1:$BC$175,86)</f>
        <v>0</v>
      </c>
      <c r="G86" s="812">
        <f>HLOOKUP($J$11,'记账凭证汇总'!$D$1:$BC$175,86)</f>
        <v>0</v>
      </c>
      <c r="H86" s="3"/>
      <c r="I86" s="3"/>
      <c r="J86" s="3"/>
    </row>
    <row r="87" spans="1:10" ht="12.75" customHeight="1" hidden="1">
      <c r="A87" s="552" t="s">
        <v>880</v>
      </c>
      <c r="B87" s="73" t="s">
        <v>748</v>
      </c>
      <c r="C87" s="110"/>
      <c r="D87" s="810">
        <f>HLOOKUP($J$7,'记账凭证汇总'!$D$1:$BC$175,87)</f>
        <v>0</v>
      </c>
      <c r="E87" s="811">
        <f>HLOOKUP($J$9,'记账凭证汇总'!$D$1:$BC$175,87)</f>
        <v>0</v>
      </c>
      <c r="F87" s="811">
        <f>HLOOKUP($J$10,'记账凭证汇总'!$D$1:$BC$175,87)</f>
        <v>0</v>
      </c>
      <c r="G87" s="812">
        <f>HLOOKUP($J$11,'记账凭证汇总'!$D$1:$BC$175,87)</f>
        <v>0</v>
      </c>
      <c r="H87" s="3"/>
      <c r="I87" s="3"/>
      <c r="J87" s="3"/>
    </row>
    <row r="88" spans="1:10" ht="12.75" customHeight="1" hidden="1">
      <c r="A88" s="633" t="s">
        <v>951</v>
      </c>
      <c r="B88" s="73" t="s">
        <v>730</v>
      </c>
      <c r="C88" s="112"/>
      <c r="D88" s="810">
        <f>HLOOKUP($J$7,'记账凭证汇总'!$D$1:$BC$175,88)</f>
        <v>0</v>
      </c>
      <c r="E88" s="811">
        <f>HLOOKUP($J$9,'记账凭证汇总'!$D$1:$BC$175,88)</f>
        <v>0</v>
      </c>
      <c r="F88" s="811">
        <f>HLOOKUP($J$10,'记账凭证汇总'!$D$1:$BC$175,88)</f>
        <v>0</v>
      </c>
      <c r="G88" s="812">
        <f>HLOOKUP($J$11,'记账凭证汇总'!$D$1:$BC$175,88)</f>
        <v>0</v>
      </c>
      <c r="H88" s="3"/>
      <c r="I88" s="3"/>
      <c r="J88" s="3"/>
    </row>
    <row r="89" spans="1:10" ht="12.75" customHeight="1" hidden="1">
      <c r="A89" s="633" t="s">
        <v>952</v>
      </c>
      <c r="B89" s="73" t="s">
        <v>578</v>
      </c>
      <c r="C89" s="110"/>
      <c r="D89" s="810">
        <f>HLOOKUP($J$7,'记账凭证汇总'!$D$1:$BC$175,89)</f>
        <v>0</v>
      </c>
      <c r="E89" s="811">
        <f>HLOOKUP($J$9,'记账凭证汇总'!$D$1:$BC$175,89)</f>
        <v>0</v>
      </c>
      <c r="F89" s="811">
        <f>HLOOKUP($J$10,'记账凭证汇总'!$D$1:$BC$175,89)</f>
        <v>0</v>
      </c>
      <c r="G89" s="812">
        <f>HLOOKUP($J$11,'记账凭证汇总'!$D$1:$BC$175,89)</f>
        <v>0</v>
      </c>
      <c r="H89" s="3"/>
      <c r="I89" s="3"/>
      <c r="J89" s="3"/>
    </row>
    <row r="90" spans="1:10" ht="12.75" customHeight="1" hidden="1">
      <c r="A90" s="633" t="s">
        <v>953</v>
      </c>
      <c r="B90" s="117" t="s">
        <v>579</v>
      </c>
      <c r="C90" s="110"/>
      <c r="D90" s="810">
        <f>HLOOKUP($J$7,'记账凭证汇总'!$D$1:$BC$175,90)</f>
        <v>0</v>
      </c>
      <c r="E90" s="811">
        <f>HLOOKUP($J$9,'记账凭证汇总'!$D$1:$BC$175,90)</f>
        <v>0</v>
      </c>
      <c r="F90" s="811">
        <f>HLOOKUP($J$10,'记账凭证汇总'!$D$1:$BC$175,90)</f>
        <v>0</v>
      </c>
      <c r="G90" s="812">
        <f>HLOOKUP($J$11,'记账凭证汇总'!$D$1:$BC$175,90)</f>
        <v>0</v>
      </c>
      <c r="H90" s="3"/>
      <c r="I90" s="3"/>
      <c r="J90" s="3"/>
    </row>
    <row r="91" spans="1:10" ht="12.75" customHeight="1">
      <c r="A91" s="633" t="s">
        <v>882</v>
      </c>
      <c r="B91" s="117" t="s">
        <v>717</v>
      </c>
      <c r="C91" s="110"/>
      <c r="D91" s="810">
        <f>HLOOKUP($J$7,'记账凭证汇总'!$D$1:$BC$175,91)</f>
        <v>0</v>
      </c>
      <c r="E91" s="811">
        <f>HLOOKUP($J$9,'记账凭证汇总'!$D$1:$BC$175,91)</f>
        <v>0</v>
      </c>
      <c r="F91" s="811">
        <f>HLOOKUP($J$10,'记账凭证汇总'!$D$1:$BC$175,91)</f>
        <v>0</v>
      </c>
      <c r="G91" s="812">
        <f>HLOOKUP($J$11,'记账凭证汇总'!$D$1:$BC$175,91)</f>
        <v>0</v>
      </c>
      <c r="H91" s="3"/>
      <c r="I91" s="3"/>
      <c r="J91" s="3"/>
    </row>
    <row r="92" spans="1:10" ht="12.75" customHeight="1" hidden="1">
      <c r="A92" s="633" t="s">
        <v>884</v>
      </c>
      <c r="B92" s="117" t="s">
        <v>736</v>
      </c>
      <c r="C92" s="110"/>
      <c r="D92" s="810">
        <f>HLOOKUP($J$7,'记账凭证汇总'!$D$1:$BC$175,92)</f>
        <v>8823040.35</v>
      </c>
      <c r="E92" s="811">
        <f>HLOOKUP($J$9,'记账凭证汇总'!$D$1:$BC$175,92)</f>
        <v>0</v>
      </c>
      <c r="F92" s="811">
        <f>HLOOKUP($J$10,'记账凭证汇总'!$D$1:$BC$175,92)</f>
        <v>0</v>
      </c>
      <c r="G92" s="812">
        <f>HLOOKUP($J$11,'记账凭证汇总'!$D$1:$BC$175,92)</f>
        <v>8823040.35</v>
      </c>
      <c r="H92" s="3"/>
      <c r="I92" s="3"/>
      <c r="J92" s="3"/>
    </row>
    <row r="93" spans="1:10" ht="12.75" customHeight="1" hidden="1">
      <c r="A93" s="633" t="s">
        <v>954</v>
      </c>
      <c r="B93" s="117" t="s">
        <v>580</v>
      </c>
      <c r="C93" s="110"/>
      <c r="D93" s="810">
        <f>HLOOKUP($J$7,'记账凭证汇总'!$D$1:$BC$175,93)</f>
        <v>0</v>
      </c>
      <c r="E93" s="811">
        <f>HLOOKUP($J$9,'记账凭证汇总'!$D$1:$BC$175,93)</f>
        <v>0</v>
      </c>
      <c r="F93" s="811">
        <f>HLOOKUP($J$10,'记账凭证汇总'!$D$1:$BC$175,93)</f>
        <v>0</v>
      </c>
      <c r="G93" s="812">
        <f>HLOOKUP($J$11,'记账凭证汇总'!$D$1:$BC$175,93)</f>
        <v>0</v>
      </c>
      <c r="H93" s="3"/>
      <c r="I93" s="3"/>
      <c r="J93" s="3"/>
    </row>
    <row r="94" spans="1:10" ht="12.75" customHeight="1" hidden="1">
      <c r="A94" s="633" t="s">
        <v>955</v>
      </c>
      <c r="B94" s="73" t="s">
        <v>581</v>
      </c>
      <c r="C94" s="112"/>
      <c r="D94" s="810">
        <f>HLOOKUP($J$7,'记账凭证汇总'!$D$1:$BC$175,94)</f>
        <v>0</v>
      </c>
      <c r="E94" s="811">
        <f>HLOOKUP($J$9,'记账凭证汇总'!$D$1:$BC$175,94)</f>
        <v>0</v>
      </c>
      <c r="F94" s="811">
        <f>HLOOKUP($J$10,'记账凭证汇总'!$D$1:$BC$175,94)</f>
        <v>0</v>
      </c>
      <c r="G94" s="812">
        <f>HLOOKUP($J$11,'记账凭证汇总'!$D$1:$BC$175,94)</f>
        <v>0</v>
      </c>
      <c r="H94" s="3"/>
      <c r="I94" s="3"/>
      <c r="J94" s="3"/>
    </row>
    <row r="95" spans="1:10" ht="12.75" customHeight="1" hidden="1">
      <c r="A95" s="633" t="s">
        <v>956</v>
      </c>
      <c r="B95" s="657" t="s">
        <v>582</v>
      </c>
      <c r="C95" s="110"/>
      <c r="D95" s="810">
        <f>HLOOKUP($J$7,'记账凭证汇总'!$D$1:$BC$175,95)</f>
        <v>0</v>
      </c>
      <c r="E95" s="811">
        <f>HLOOKUP($J$9,'记账凭证汇总'!$D$1:$BC$175,95)</f>
        <v>0</v>
      </c>
      <c r="F95" s="811">
        <f>HLOOKUP($J$10,'记账凭证汇总'!$D$1:$BC$175,95)</f>
        <v>0</v>
      </c>
      <c r="G95" s="812">
        <f>HLOOKUP($J$11,'记账凭证汇总'!$D$1:$BC$175,95)</f>
        <v>0</v>
      </c>
      <c r="H95" s="3"/>
      <c r="I95" s="3"/>
      <c r="J95" s="3"/>
    </row>
    <row r="96" spans="1:10" ht="12.75" customHeight="1" hidden="1">
      <c r="A96" s="633" t="s">
        <v>957</v>
      </c>
      <c r="B96" s="839" t="s">
        <v>583</v>
      </c>
      <c r="C96" s="112"/>
      <c r="D96" s="810">
        <f>HLOOKUP($J$7,'记账凭证汇总'!$D$1:$BC$175,96)</f>
        <v>0</v>
      </c>
      <c r="E96" s="811">
        <f>HLOOKUP($J$9,'记账凭证汇总'!$D$1:$BC$175,96)</f>
        <v>0</v>
      </c>
      <c r="F96" s="811">
        <f>HLOOKUP($J$10,'记账凭证汇总'!$D$1:$BC$175,96)</f>
        <v>0</v>
      </c>
      <c r="G96" s="812">
        <f>HLOOKUP($J$11,'记账凭证汇总'!$D$1:$BC$175,96)</f>
        <v>0</v>
      </c>
      <c r="H96" s="3"/>
      <c r="I96" s="3"/>
      <c r="J96" s="3"/>
    </row>
    <row r="97" spans="1:10" ht="12.75" customHeight="1" hidden="1">
      <c r="A97" s="633" t="s">
        <v>958</v>
      </c>
      <c r="B97" s="132" t="s">
        <v>550</v>
      </c>
      <c r="C97" s="112"/>
      <c r="D97" s="810">
        <f>HLOOKUP($J$7,'记账凭证汇总'!$D$1:$BC$175,97)</f>
        <v>0</v>
      </c>
      <c r="E97" s="811">
        <f>HLOOKUP($J$9,'记账凭证汇总'!$D$1:$BC$175,97)</f>
        <v>0</v>
      </c>
      <c r="F97" s="811">
        <f>HLOOKUP($J$10,'记账凭证汇总'!$D$1:$BC$175,97)</f>
        <v>0</v>
      </c>
      <c r="G97" s="812">
        <f>HLOOKUP($J$11,'记账凭证汇总'!$D$1:$BC$175,97)</f>
        <v>0</v>
      </c>
      <c r="H97" s="3"/>
      <c r="I97" s="3"/>
      <c r="J97" s="3"/>
    </row>
    <row r="98" spans="1:10" ht="12.75" customHeight="1" hidden="1">
      <c r="A98" s="633" t="s">
        <v>959</v>
      </c>
      <c r="B98" s="132" t="s">
        <v>584</v>
      </c>
      <c r="C98" s="110"/>
      <c r="D98" s="810">
        <f>HLOOKUP($J$7,'记账凭证汇总'!$D$1:$BC$175,98)</f>
        <v>0</v>
      </c>
      <c r="E98" s="811">
        <f>HLOOKUP($J$9,'记账凭证汇总'!$D$1:$BC$175,98)</f>
        <v>0</v>
      </c>
      <c r="F98" s="811">
        <f>HLOOKUP($J$10,'记账凭证汇总'!$D$1:$BC$175,98)</f>
        <v>0</v>
      </c>
      <c r="G98" s="812">
        <f>HLOOKUP($J$11,'记账凭证汇总'!$D$1:$BC$175,98)</f>
        <v>0</v>
      </c>
      <c r="H98" s="3"/>
      <c r="I98" s="3"/>
      <c r="J98" s="3"/>
    </row>
    <row r="99" spans="1:10" ht="12.75" customHeight="1">
      <c r="A99" s="633" t="s">
        <v>960</v>
      </c>
      <c r="B99" s="73" t="s">
        <v>585</v>
      </c>
      <c r="C99" s="112"/>
      <c r="D99" s="810">
        <f>HLOOKUP($J$7,'记账凭证汇总'!$D$1:$BC$175,99)</f>
        <v>8823040.35</v>
      </c>
      <c r="E99" s="811">
        <f>HLOOKUP($J$9,'记账凭证汇总'!$D$1:$BC$175,99)</f>
        <v>0</v>
      </c>
      <c r="F99" s="811">
        <f>HLOOKUP($J$10,'记账凭证汇总'!$D$1:$BC$175,99)</f>
        <v>0</v>
      </c>
      <c r="G99" s="812">
        <f>HLOOKUP($J$11,'记账凭证汇总'!$D$1:$BC$175,99)</f>
        <v>8823040.35</v>
      </c>
      <c r="H99" s="3"/>
      <c r="I99" s="3"/>
      <c r="J99" s="3"/>
    </row>
    <row r="100" spans="1:10" ht="12.75" customHeight="1">
      <c r="A100" s="633" t="s">
        <v>886</v>
      </c>
      <c r="B100" s="73" t="s">
        <v>370</v>
      </c>
      <c r="C100" s="115"/>
      <c r="D100" s="810">
        <f>HLOOKUP($J$7,'记账凭证汇总'!$D$1:$BC$175,100)</f>
        <v>975353</v>
      </c>
      <c r="E100" s="811">
        <f>HLOOKUP($J$9,'记账凭证汇总'!$D$1:$BC$175,100)</f>
        <v>0</v>
      </c>
      <c r="F100" s="811">
        <f>HLOOKUP($J$10,'记账凭证汇总'!$D$1:$BC$175,100)</f>
        <v>0</v>
      </c>
      <c r="G100" s="812">
        <f>HLOOKUP($J$11,'记账凭证汇总'!$D$1:$BC$175,100)</f>
        <v>975353</v>
      </c>
      <c r="H100" s="3"/>
      <c r="I100" s="3"/>
      <c r="J100" s="3"/>
    </row>
    <row r="101" spans="1:10" ht="12.75" customHeight="1" hidden="1">
      <c r="A101" s="633">
        <v>410201</v>
      </c>
      <c r="B101" s="73" t="s">
        <v>371</v>
      </c>
      <c r="C101" s="110"/>
      <c r="D101" s="810">
        <f>HLOOKUP($J$7,'记账凭证汇总'!$D$1:$BC$175,101)</f>
        <v>0</v>
      </c>
      <c r="E101" s="811">
        <f>HLOOKUP($J$9,'记账凭证汇总'!$D$1:$BC$175,101)</f>
        <v>0</v>
      </c>
      <c r="F101" s="811">
        <f>HLOOKUP($J$10,'记账凭证汇总'!$D$1:$BC$175,101)</f>
        <v>0</v>
      </c>
      <c r="G101" s="812">
        <f>HLOOKUP($J$11,'记账凭证汇总'!$D$1:$BC$175,101)</f>
        <v>0</v>
      </c>
      <c r="H101" s="3"/>
      <c r="I101" s="3"/>
      <c r="J101" s="3"/>
    </row>
    <row r="102" spans="1:10" ht="12.75" customHeight="1" hidden="1">
      <c r="A102" s="633">
        <v>410202</v>
      </c>
      <c r="B102" s="73" t="s">
        <v>372</v>
      </c>
      <c r="C102" s="110"/>
      <c r="D102" s="810">
        <f>HLOOKUP($J$7,'记账凭证汇总'!$D$1:$BC$175,102)</f>
        <v>400</v>
      </c>
      <c r="E102" s="811">
        <f>HLOOKUP($J$9,'记账凭证汇总'!$D$1:$BC$175,102)</f>
        <v>0</v>
      </c>
      <c r="F102" s="811">
        <f>HLOOKUP($J$10,'记账凭证汇总'!$D$1:$BC$175,102)</f>
        <v>0</v>
      </c>
      <c r="G102" s="812">
        <f>HLOOKUP($J$11,'记账凭证汇总'!$D$1:$BC$175,102)</f>
        <v>400</v>
      </c>
      <c r="H102" s="3"/>
      <c r="I102" s="3"/>
      <c r="J102" s="3"/>
    </row>
    <row r="103" spans="1:10" ht="12.75" customHeight="1" hidden="1">
      <c r="A103" s="633">
        <v>410203</v>
      </c>
      <c r="B103" s="73" t="s">
        <v>373</v>
      </c>
      <c r="C103" s="112"/>
      <c r="D103" s="810">
        <f>HLOOKUP($J$7,'记账凭证汇总'!$D$1:$BC$175,103)</f>
        <v>974953</v>
      </c>
      <c r="E103" s="811">
        <f>HLOOKUP($J$9,'记账凭证汇总'!$D$1:$BC$175,103)</f>
        <v>0</v>
      </c>
      <c r="F103" s="811">
        <f>HLOOKUP($J$10,'记账凭证汇总'!$D$1:$BC$175,103)</f>
        <v>0</v>
      </c>
      <c r="G103" s="812">
        <f>HLOOKUP($J$11,'记账凭证汇总'!$D$1:$BC$175,103)</f>
        <v>974953</v>
      </c>
      <c r="H103" s="3"/>
      <c r="I103" s="3"/>
      <c r="J103" s="3"/>
    </row>
    <row r="104" spans="1:10" ht="12.75" customHeight="1" hidden="1">
      <c r="A104" s="633">
        <v>410204</v>
      </c>
      <c r="B104" s="73" t="s">
        <v>374</v>
      </c>
      <c r="C104" s="112"/>
      <c r="D104" s="810">
        <f>HLOOKUP($J$7,'记账凭证汇总'!$D$1:$BC$175,104)</f>
        <v>0</v>
      </c>
      <c r="E104" s="811">
        <f>HLOOKUP($J$9,'记账凭证汇总'!$D$1:$BC$175,104)</f>
        <v>0</v>
      </c>
      <c r="F104" s="811">
        <f>HLOOKUP($J$10,'记账凭证汇总'!$D$1:$BC$175,104)</f>
        <v>0</v>
      </c>
      <c r="G104" s="812">
        <f>HLOOKUP($J$11,'记账凭证汇总'!$D$1:$BC$175,104)</f>
        <v>0</v>
      </c>
      <c r="H104" s="3"/>
      <c r="I104" s="3"/>
      <c r="J104" s="3"/>
    </row>
    <row r="105" spans="1:10" ht="12.75" customHeight="1" hidden="1">
      <c r="A105" s="633">
        <v>410205</v>
      </c>
      <c r="B105" s="73" t="s">
        <v>375</v>
      </c>
      <c r="C105" s="112"/>
      <c r="D105" s="810">
        <f>HLOOKUP($J$7,'记账凭证汇总'!$D$1:$BC$175,105)</f>
        <v>0</v>
      </c>
      <c r="E105" s="811">
        <f>HLOOKUP($J$9,'记账凭证汇总'!$D$1:$BC$175,105)</f>
        <v>0</v>
      </c>
      <c r="F105" s="811">
        <f>HLOOKUP($J$10,'记账凭证汇总'!$D$1:$BC$175,105)</f>
        <v>0</v>
      </c>
      <c r="G105" s="812">
        <f>HLOOKUP($J$11,'记账凭证汇总'!$D$1:$BC$175,105)</f>
        <v>0</v>
      </c>
      <c r="H105" s="3"/>
      <c r="I105" s="3"/>
      <c r="J105" s="3"/>
    </row>
    <row r="106" spans="1:10" ht="12.75" customHeight="1" hidden="1">
      <c r="A106" s="633">
        <v>410206</v>
      </c>
      <c r="B106" s="657" t="s">
        <v>376</v>
      </c>
      <c r="C106" s="110"/>
      <c r="D106" s="810">
        <f>HLOOKUP($J$7,'记账凭证汇总'!$D$1:$BC$175,106)</f>
        <v>0</v>
      </c>
      <c r="E106" s="811">
        <f>HLOOKUP($J$9,'记账凭证汇总'!$D$1:$BC$175,106)</f>
        <v>0</v>
      </c>
      <c r="F106" s="811">
        <f>HLOOKUP($J$10,'记账凭证汇总'!$D$1:$BC$175,106)</f>
        <v>0</v>
      </c>
      <c r="G106" s="812">
        <f>HLOOKUP($J$11,'记账凭证汇总'!$D$1:$BC$175,106)</f>
        <v>0</v>
      </c>
      <c r="H106" s="3"/>
      <c r="I106" s="3"/>
      <c r="J106" s="3"/>
    </row>
    <row r="107" spans="1:10" ht="12.75" customHeight="1">
      <c r="A107" s="633">
        <v>410207</v>
      </c>
      <c r="B107" s="657" t="s">
        <v>377</v>
      </c>
      <c r="C107" s="110"/>
      <c r="D107" s="810">
        <f>HLOOKUP($J$7,'记账凭证汇总'!$D$1:$BC$175,107)</f>
        <v>0</v>
      </c>
      <c r="E107" s="811">
        <f>HLOOKUP($J$9,'记账凭证汇总'!$D$1:$BC$175,107)</f>
        <v>0</v>
      </c>
      <c r="F107" s="811">
        <f>HLOOKUP($J$10,'记账凭证汇总'!$D$1:$BC$175,107)</f>
        <v>0</v>
      </c>
      <c r="G107" s="812">
        <f>HLOOKUP($J$11,'记账凭证汇总'!$D$1:$BC$175,107)</f>
        <v>0</v>
      </c>
      <c r="H107" s="3"/>
      <c r="I107" s="3"/>
      <c r="J107" s="3"/>
    </row>
    <row r="108" spans="1:10" ht="12.75" customHeight="1" hidden="1">
      <c r="A108" s="633" t="s">
        <v>888</v>
      </c>
      <c r="B108" s="132" t="s">
        <v>378</v>
      </c>
      <c r="C108" s="118"/>
      <c r="D108" s="810">
        <f>HLOOKUP($J$7,'记账凭证汇总'!$D$1:$BC$175,108)</f>
        <v>500</v>
      </c>
      <c r="E108" s="811">
        <f>HLOOKUP($J$9,'记账凭证汇总'!$D$1:$BC$175,108)</f>
        <v>0</v>
      </c>
      <c r="F108" s="811">
        <f>HLOOKUP($J$10,'记账凭证汇总'!$D$1:$BC$175,108)</f>
        <v>0</v>
      </c>
      <c r="G108" s="812">
        <f>HLOOKUP($J$11,'记账凭证汇总'!$D$1:$BC$175,108)</f>
        <v>500</v>
      </c>
      <c r="H108" s="3"/>
      <c r="I108" s="3"/>
      <c r="J108" s="3"/>
    </row>
    <row r="109" spans="1:10" ht="12.75" customHeight="1" hidden="1">
      <c r="A109" s="633" t="s">
        <v>961</v>
      </c>
      <c r="B109" s="132" t="s">
        <v>713</v>
      </c>
      <c r="C109" s="118"/>
      <c r="D109" s="810">
        <f>HLOOKUP($J$7,'记账凭证汇总'!$D$1:$BC$175,109)</f>
        <v>500</v>
      </c>
      <c r="E109" s="811">
        <f>HLOOKUP($J$9,'记账凭证汇总'!$D$1:$BC$175,109)</f>
        <v>0</v>
      </c>
      <c r="F109" s="811">
        <f>HLOOKUP($J$10,'记账凭证汇总'!$D$1:$BC$175,109)</f>
        <v>0</v>
      </c>
      <c r="G109" s="812">
        <f>HLOOKUP($J$11,'记账凭证汇总'!$D$1:$BC$175,109)</f>
        <v>500</v>
      </c>
      <c r="H109" s="3"/>
      <c r="I109" s="3"/>
      <c r="J109" s="3"/>
    </row>
    <row r="110" spans="1:10" ht="12.75" customHeight="1" hidden="1">
      <c r="A110" s="633" t="s">
        <v>278</v>
      </c>
      <c r="B110" s="132" t="s">
        <v>520</v>
      </c>
      <c r="C110" s="118"/>
      <c r="D110" s="810">
        <f>HLOOKUP($J$7,'记账凭证汇总'!$D$1:$BC$175,110)</f>
        <v>0</v>
      </c>
      <c r="E110" s="811">
        <f>HLOOKUP($J$9,'记账凭证汇总'!$D$1:$BC$175,110)</f>
        <v>0</v>
      </c>
      <c r="F110" s="811">
        <f>HLOOKUP($J$10,'记账凭证汇总'!$D$1:$BC$175,110)</f>
        <v>0</v>
      </c>
      <c r="G110" s="812">
        <f>HLOOKUP($J$11,'记账凭证汇总'!$D$1:$BC$175,110)</f>
        <v>0</v>
      </c>
      <c r="H110" s="3"/>
      <c r="I110" s="3"/>
      <c r="J110" s="3"/>
    </row>
    <row r="111" spans="1:10" ht="12.75" customHeight="1" hidden="1">
      <c r="A111" s="633" t="s">
        <v>279</v>
      </c>
      <c r="B111" s="132" t="s">
        <v>29</v>
      </c>
      <c r="C111" s="118"/>
      <c r="D111" s="810">
        <f>HLOOKUP($J$7,'记账凭证汇总'!$D$1:$BC$175,111)</f>
        <v>0</v>
      </c>
      <c r="E111" s="811">
        <f>HLOOKUP($J$9,'记账凭证汇总'!$D$1:$BC$175,111)</f>
        <v>0</v>
      </c>
      <c r="F111" s="811">
        <f>HLOOKUP($J$10,'记账凭证汇总'!$D$1:$BC$175,111)</f>
        <v>0</v>
      </c>
      <c r="G111" s="812">
        <f>HLOOKUP($J$11,'记账凭证汇总'!$D$1:$BC$175,111)</f>
        <v>0</v>
      </c>
      <c r="H111" s="3"/>
      <c r="I111" s="3"/>
      <c r="J111" s="3"/>
    </row>
    <row r="112" spans="1:10" ht="12.75" customHeight="1" hidden="1">
      <c r="A112" s="633" t="s">
        <v>280</v>
      </c>
      <c r="B112" s="132" t="s">
        <v>27</v>
      </c>
      <c r="C112" s="118"/>
      <c r="D112" s="810">
        <f>HLOOKUP($J$7,'记账凭证汇总'!$D$1:$BC$175,112)</f>
        <v>0</v>
      </c>
      <c r="E112" s="811">
        <f>HLOOKUP($J$9,'记账凭证汇总'!$D$1:$BC$175,112)</f>
        <v>0</v>
      </c>
      <c r="F112" s="811">
        <f>HLOOKUP($J$10,'记账凭证汇总'!$D$1:$BC$175,112)</f>
        <v>0</v>
      </c>
      <c r="G112" s="812">
        <f>HLOOKUP($J$11,'记账凭证汇总'!$D$1:$BC$175,112)</f>
        <v>0</v>
      </c>
      <c r="H112" s="3"/>
      <c r="I112" s="3"/>
      <c r="J112" s="3"/>
    </row>
    <row r="113" spans="1:10" ht="12.75" customHeight="1" hidden="1">
      <c r="A113" s="633" t="s">
        <v>281</v>
      </c>
      <c r="B113" s="132" t="s">
        <v>1017</v>
      </c>
      <c r="C113" s="118"/>
      <c r="D113" s="810">
        <f>HLOOKUP($J$7,'记账凭证汇总'!$D$1:$BC$175,113)</f>
        <v>0</v>
      </c>
      <c r="E113" s="811">
        <f>HLOOKUP($J$9,'记账凭证汇总'!$D$1:$BC$175,113)</f>
        <v>0</v>
      </c>
      <c r="F113" s="811">
        <f>HLOOKUP($J$10,'记账凭证汇总'!$D$1:$BC$175,113)</f>
        <v>0</v>
      </c>
      <c r="G113" s="812">
        <f>HLOOKUP($J$11,'记账凭证汇总'!$D$1:$BC$175,113)</f>
        <v>0</v>
      </c>
      <c r="H113" s="3"/>
      <c r="I113" s="3"/>
      <c r="J113" s="3"/>
    </row>
    <row r="114" spans="1:10" ht="12.75" customHeight="1" hidden="1">
      <c r="A114" s="633" t="s">
        <v>282</v>
      </c>
      <c r="B114" s="132" t="s">
        <v>26</v>
      </c>
      <c r="C114" s="118"/>
      <c r="D114" s="810">
        <f>HLOOKUP($J$7,'记账凭证汇总'!$D$1:$BC$175,114)</f>
        <v>0</v>
      </c>
      <c r="E114" s="811">
        <f>HLOOKUP($J$9,'记账凭证汇总'!$D$1:$BC$175,114)</f>
        <v>0</v>
      </c>
      <c r="F114" s="811">
        <f>HLOOKUP($J$10,'记账凭证汇总'!$D$1:$BC$175,114)</f>
        <v>0</v>
      </c>
      <c r="G114" s="812">
        <f>HLOOKUP($J$11,'记账凭证汇总'!$D$1:$BC$175,114)</f>
        <v>0</v>
      </c>
      <c r="H114" s="3"/>
      <c r="I114" s="3"/>
      <c r="J114" s="3"/>
    </row>
    <row r="115" spans="1:10" ht="12.75" customHeight="1" hidden="1">
      <c r="A115" s="633" t="s">
        <v>283</v>
      </c>
      <c r="B115" s="132" t="s">
        <v>521</v>
      </c>
      <c r="C115" s="118"/>
      <c r="D115" s="810">
        <f>HLOOKUP($J$7,'记账凭证汇总'!$D$1:$BC$175,115)</f>
        <v>0</v>
      </c>
      <c r="E115" s="811">
        <f>HLOOKUP($J$9,'记账凭证汇总'!$D$1:$BC$175,115)</f>
        <v>0</v>
      </c>
      <c r="F115" s="811">
        <f>HLOOKUP($J$10,'记账凭证汇总'!$D$1:$BC$175,115)</f>
        <v>0</v>
      </c>
      <c r="G115" s="812">
        <f>HLOOKUP($J$11,'记账凭证汇总'!$D$1:$BC$175,115)</f>
        <v>0</v>
      </c>
      <c r="H115" s="3"/>
      <c r="I115" s="3"/>
      <c r="J115" s="3"/>
    </row>
    <row r="116" spans="1:10" ht="12.75" customHeight="1" hidden="1">
      <c r="A116" s="633" t="s">
        <v>284</v>
      </c>
      <c r="B116" s="132" t="s">
        <v>522</v>
      </c>
      <c r="C116" s="118"/>
      <c r="D116" s="810">
        <f>HLOOKUP($J$7,'记账凭证汇总'!$D$1:$BC$175,116)</f>
        <v>0</v>
      </c>
      <c r="E116" s="811">
        <f>HLOOKUP($J$9,'记账凭证汇总'!$D$1:$BC$175,116)</f>
        <v>0</v>
      </c>
      <c r="F116" s="811">
        <f>HLOOKUP($J$10,'记账凭证汇总'!$D$1:$BC$175,116)</f>
        <v>0</v>
      </c>
      <c r="G116" s="812">
        <f>HLOOKUP($J$11,'记账凭证汇总'!$D$1:$BC$175,116)</f>
        <v>0</v>
      </c>
      <c r="H116" s="3"/>
      <c r="I116" s="3"/>
      <c r="J116" s="3"/>
    </row>
    <row r="117" spans="1:10" ht="12.75" customHeight="1" hidden="1">
      <c r="A117" s="633" t="s">
        <v>285</v>
      </c>
      <c r="B117" s="132" t="s">
        <v>693</v>
      </c>
      <c r="C117" s="118"/>
      <c r="D117" s="810">
        <f>HLOOKUP($J$7,'记账凭证汇总'!$D$1:$BC$175,117)</f>
        <v>0</v>
      </c>
      <c r="E117" s="811">
        <f>HLOOKUP($J$9,'记账凭证汇总'!$D$1:$BC$175,117)</f>
        <v>0</v>
      </c>
      <c r="F117" s="811">
        <f>HLOOKUP($J$10,'记账凭证汇总'!$D$1:$BC$175,117)</f>
        <v>0</v>
      </c>
      <c r="G117" s="812">
        <f>HLOOKUP($J$11,'记账凭证汇总'!$D$1:$BC$175,117)</f>
        <v>0</v>
      </c>
      <c r="H117" s="3"/>
      <c r="I117" s="3"/>
      <c r="J117" s="3"/>
    </row>
    <row r="118" spans="1:10" ht="12.75" customHeight="1" hidden="1">
      <c r="A118" s="633" t="s">
        <v>286</v>
      </c>
      <c r="B118" s="132" t="s">
        <v>1019</v>
      </c>
      <c r="C118" s="118"/>
      <c r="D118" s="810">
        <f>HLOOKUP($J$7,'记账凭证汇总'!$D$1:$BC$175,118)</f>
        <v>0</v>
      </c>
      <c r="E118" s="811">
        <f>HLOOKUP($J$9,'记账凭证汇总'!$D$1:$BC$175,118)</f>
        <v>0</v>
      </c>
      <c r="F118" s="811">
        <f>HLOOKUP($J$10,'记账凭证汇总'!$D$1:$BC$175,118)</f>
        <v>0</v>
      </c>
      <c r="G118" s="812">
        <f>HLOOKUP($J$11,'记账凭证汇总'!$D$1:$BC$175,118)</f>
        <v>0</v>
      </c>
      <c r="H118" s="3"/>
      <c r="I118" s="3"/>
      <c r="J118" s="3"/>
    </row>
    <row r="119" spans="1:10" ht="12.75" customHeight="1" hidden="1">
      <c r="A119" s="633" t="s">
        <v>890</v>
      </c>
      <c r="B119" s="132" t="s">
        <v>755</v>
      </c>
      <c r="C119" s="118"/>
      <c r="D119" s="810">
        <f>HLOOKUP($J$7,'记账凭证汇总'!$D$1:$BC$175,119)</f>
        <v>80000</v>
      </c>
      <c r="E119" s="811">
        <f>HLOOKUP($J$9,'记账凭证汇总'!$D$1:$BC$175,109)</f>
        <v>0</v>
      </c>
      <c r="F119" s="811">
        <f>HLOOKUP($J$10,'记账凭证汇总'!$D$1:$BC$175,119)</f>
        <v>0</v>
      </c>
      <c r="G119" s="812">
        <f>HLOOKUP($J$11,'记账凭证汇总'!$D$1:$BC$175,119)</f>
        <v>80000</v>
      </c>
      <c r="H119" s="3"/>
      <c r="I119" s="3"/>
      <c r="J119" s="3"/>
    </row>
    <row r="120" spans="1:10" ht="12.75" customHeight="1" hidden="1">
      <c r="A120" s="633" t="s">
        <v>892</v>
      </c>
      <c r="B120" s="132" t="s">
        <v>54</v>
      </c>
      <c r="C120" s="118"/>
      <c r="D120" s="810">
        <f>HLOOKUP($J$7,'记账凭证汇总'!$D$1:$BC$175,120)</f>
        <v>0</v>
      </c>
      <c r="E120" s="811">
        <f>HLOOKUP($J$9,'记账凭证汇总'!$D$1:$BC$175,120)</f>
        <v>0</v>
      </c>
      <c r="F120" s="811">
        <f>HLOOKUP($J$10,'记账凭证汇总'!$D$1:$BC$175,120)</f>
        <v>0</v>
      </c>
      <c r="G120" s="812">
        <f>HLOOKUP($J$11,'记账凭证汇总'!$D$1:$BC$175,120)</f>
        <v>0</v>
      </c>
      <c r="H120" s="3"/>
      <c r="I120" s="3"/>
      <c r="J120" s="3"/>
    </row>
    <row r="121" spans="1:10" ht="12.75" customHeight="1" hidden="1">
      <c r="A121" s="633" t="s">
        <v>894</v>
      </c>
      <c r="B121" s="132" t="s">
        <v>742</v>
      </c>
      <c r="C121" s="118"/>
      <c r="D121" s="810">
        <f>HLOOKUP($J$7,'记账凭证汇总'!$D$1:$BC$175,121)</f>
        <v>0</v>
      </c>
      <c r="E121" s="811">
        <f>HLOOKUP($J$9,'记账凭证汇总'!$D$1:$BC$175,121)</f>
        <v>0</v>
      </c>
      <c r="F121" s="811">
        <f>HLOOKUP($J$10,'记账凭证汇总'!$D$1:$BC$175,121)</f>
        <v>0</v>
      </c>
      <c r="G121" s="812">
        <f>HLOOKUP($J$11,'记账凭证汇总'!$D$1:$BC$175,121)</f>
        <v>0</v>
      </c>
      <c r="H121" s="3"/>
      <c r="I121" s="3"/>
      <c r="J121" s="3"/>
    </row>
    <row r="122" spans="1:10" ht="12.75" customHeight="1" hidden="1">
      <c r="A122" s="633" t="s">
        <v>896</v>
      </c>
      <c r="B122" s="132" t="s">
        <v>750</v>
      </c>
      <c r="C122" s="118"/>
      <c r="D122" s="810">
        <f>HLOOKUP($J$7,'记账凭证汇总'!$D$1:$BC$175,122)</f>
        <v>0</v>
      </c>
      <c r="E122" s="811">
        <f>HLOOKUP($J$9,'记账凭证汇总'!$D$1:$BC$175,122)</f>
        <v>0</v>
      </c>
      <c r="F122" s="811">
        <f>HLOOKUP($J$10,'记账凭证汇总'!$D$1:$BC$175,122)</f>
        <v>0</v>
      </c>
      <c r="G122" s="812">
        <f>HLOOKUP($J$11,'记账凭证汇总'!$D$1:$BC$175,122)</f>
        <v>0</v>
      </c>
      <c r="H122" s="3"/>
      <c r="I122" s="3"/>
      <c r="J122" s="3"/>
    </row>
    <row r="123" spans="1:10" ht="12.75" customHeight="1" hidden="1">
      <c r="A123" s="633" t="s">
        <v>898</v>
      </c>
      <c r="B123" s="132" t="s">
        <v>754</v>
      </c>
      <c r="C123" s="118"/>
      <c r="D123" s="810">
        <f>HLOOKUP($J$7,'记账凭证汇总'!$D$1:$BC$175,123)</f>
        <v>70000</v>
      </c>
      <c r="E123" s="811">
        <f>HLOOKUP($J$9,'记账凭证汇总'!$D$1:$BC$175,123)</f>
        <v>0</v>
      </c>
      <c r="F123" s="811">
        <f>HLOOKUP($J$10,'记账凭证汇总'!$D$1:$BC$175,123)</f>
        <v>0</v>
      </c>
      <c r="G123" s="812">
        <f>HLOOKUP($J$11,'记账凭证汇总'!$D$1:$BC$175,123)</f>
        <v>70000</v>
      </c>
      <c r="H123" s="3"/>
      <c r="I123" s="3"/>
      <c r="J123" s="3"/>
    </row>
    <row r="124" spans="1:10" ht="12.75" customHeight="1" hidden="1">
      <c r="A124" s="633" t="s">
        <v>900</v>
      </c>
      <c r="B124" s="132" t="s">
        <v>756</v>
      </c>
      <c r="C124" s="118"/>
      <c r="D124" s="810">
        <f>HLOOKUP($J$7,'记账凭证汇总'!$D$1:$BC$175,124)</f>
        <v>0</v>
      </c>
      <c r="E124" s="811">
        <f>HLOOKUP($J$9,'记账凭证汇总'!$D$1:$BC$175,124)</f>
        <v>0</v>
      </c>
      <c r="F124" s="811">
        <f>HLOOKUP($J$10,'记账凭证汇总'!$D$1:$BC$175,124)</f>
        <v>0</v>
      </c>
      <c r="G124" s="812">
        <f>HLOOKUP($J$11,'记账凭证汇总'!$D$1:$BC$175,124)</f>
        <v>0</v>
      </c>
      <c r="H124" s="3"/>
      <c r="I124" s="3"/>
      <c r="J124" s="3"/>
    </row>
    <row r="125" spans="1:10" ht="12.75" customHeight="1" hidden="1">
      <c r="A125" s="633" t="s">
        <v>902</v>
      </c>
      <c r="B125" s="132" t="s">
        <v>55</v>
      </c>
      <c r="C125" s="118"/>
      <c r="D125" s="810">
        <f>HLOOKUP($J$7,'记账凭证汇总'!$D$1:$BC$175,125)</f>
        <v>0</v>
      </c>
      <c r="E125" s="811">
        <f>HLOOKUP($J$9,'记账凭证汇总'!$D$1:$BC$175,125)</f>
        <v>0</v>
      </c>
      <c r="F125" s="811">
        <f>HLOOKUP($J$10,'记账凭证汇总'!$D$1:$BC$175,125)</f>
        <v>0</v>
      </c>
      <c r="G125" s="812">
        <f>HLOOKUP($J$11,'记账凭证汇总'!$D$1:$BC$175,125)</f>
        <v>0</v>
      </c>
      <c r="H125" s="3"/>
      <c r="I125" s="3"/>
      <c r="J125" s="3"/>
    </row>
    <row r="126" spans="1:10" ht="12.75" customHeight="1">
      <c r="A126" s="633" t="s">
        <v>904</v>
      </c>
      <c r="B126" s="132" t="s">
        <v>749</v>
      </c>
      <c r="C126" s="118"/>
      <c r="D126" s="810">
        <f>HLOOKUP($J$7,'记账凭证汇总'!$D$1:$BC$175,126)</f>
        <v>600</v>
      </c>
      <c r="E126" s="811">
        <f>HLOOKUP($J$9,'记账凭证汇总'!$D$1:$BC$175,126)</f>
        <v>0</v>
      </c>
      <c r="F126" s="811">
        <f>HLOOKUP($J$10,'记账凭证汇总'!$D$1:$BC$175,126)</f>
        <v>0</v>
      </c>
      <c r="G126" s="812">
        <f>HLOOKUP($J$11,'记账凭证汇总'!$D$1:$BC$175,126)</f>
        <v>600</v>
      </c>
      <c r="H126" s="3"/>
      <c r="I126" s="3"/>
      <c r="J126" s="3"/>
    </row>
    <row r="127" spans="1:10" ht="12.75" customHeight="1" hidden="1">
      <c r="A127" s="633" t="s">
        <v>962</v>
      </c>
      <c r="B127" s="132" t="s">
        <v>379</v>
      </c>
      <c r="C127" s="118"/>
      <c r="D127" s="810">
        <f>HLOOKUP($J$7,'记账凭证汇总'!$D$1:$BC$175,127)</f>
        <v>0</v>
      </c>
      <c r="E127" s="811">
        <f>HLOOKUP($J$9,'记账凭证汇总'!$D$1:$BC$175,127)</f>
        <v>0</v>
      </c>
      <c r="F127" s="811">
        <f>HLOOKUP($J$10,'记账凭证汇总'!$D$1:$BC$175,127)</f>
        <v>0</v>
      </c>
      <c r="G127" s="812">
        <f>HLOOKUP($J$11,'记账凭证汇总'!$D$1:$BC$175,127)</f>
        <v>0</v>
      </c>
      <c r="H127" s="3"/>
      <c r="I127" s="3"/>
      <c r="J127" s="3"/>
    </row>
    <row r="128" spans="1:10" ht="12.75" customHeight="1" hidden="1">
      <c r="A128" s="633" t="s">
        <v>237</v>
      </c>
      <c r="B128" s="132" t="s">
        <v>380</v>
      </c>
      <c r="C128" s="118"/>
      <c r="D128" s="810">
        <f>HLOOKUP($J$7,'记账凭证汇总'!$D$1:$BC$175,128)</f>
        <v>600</v>
      </c>
      <c r="E128" s="811">
        <f>HLOOKUP($J$9,'记账凭证汇总'!$D$1:$BC$175,128)</f>
        <v>0</v>
      </c>
      <c r="F128" s="811">
        <f>HLOOKUP($J$10,'记账凭证汇总'!$D$1:$BC$175,128)</f>
        <v>0</v>
      </c>
      <c r="G128" s="812">
        <f>HLOOKUP($J$11,'记账凭证汇总'!$D$1:$BC$175,128)</f>
        <v>600</v>
      </c>
      <c r="H128" s="3"/>
      <c r="I128" s="3"/>
      <c r="J128" s="3"/>
    </row>
    <row r="129" spans="1:10" ht="12.75" customHeight="1" hidden="1">
      <c r="A129" s="633" t="s">
        <v>238</v>
      </c>
      <c r="B129" s="657" t="s">
        <v>26</v>
      </c>
      <c r="C129" s="119"/>
      <c r="D129" s="810">
        <f>HLOOKUP($J$7,'记账凭证汇总'!$D$1:$BC$175,129)</f>
        <v>0</v>
      </c>
      <c r="E129" s="811">
        <f>HLOOKUP($J$9,'记账凭证汇总'!$D$1:$BC$175,129)</f>
        <v>0</v>
      </c>
      <c r="F129" s="811">
        <f>HLOOKUP($J$10,'记账凭证汇总'!$D$1:$BC$175,129)</f>
        <v>0</v>
      </c>
      <c r="G129" s="812">
        <f>HLOOKUP($J$11,'记账凭证汇总'!$D$1:$BC$175,129)</f>
        <v>0</v>
      </c>
      <c r="H129" s="3"/>
      <c r="I129" s="3"/>
      <c r="J129" s="3"/>
    </row>
    <row r="130" spans="1:10" ht="12.75" customHeight="1" hidden="1">
      <c r="A130" s="633" t="s">
        <v>239</v>
      </c>
      <c r="B130" s="657" t="s">
        <v>381</v>
      </c>
      <c r="C130" s="120"/>
      <c r="D130" s="810">
        <f>HLOOKUP($J$7,'记账凭证汇总'!$D$1:$BC$175,130)</f>
        <v>0</v>
      </c>
      <c r="E130" s="811">
        <f>HLOOKUP($J$9,'记账凭证汇总'!$D$1:$BC$175,130)</f>
        <v>0</v>
      </c>
      <c r="F130" s="811">
        <f>HLOOKUP($J$10,'记账凭证汇总'!$D$1:$BC$175,130)</f>
        <v>0</v>
      </c>
      <c r="G130" s="812">
        <f>HLOOKUP($J$11,'记账凭证汇总'!$D$1:$BC$175,130)</f>
        <v>0</v>
      </c>
      <c r="H130" s="3"/>
      <c r="I130" s="3"/>
      <c r="J130" s="3"/>
    </row>
    <row r="131" spans="1:10" ht="12.75" customHeight="1" hidden="1">
      <c r="A131" s="633" t="s">
        <v>240</v>
      </c>
      <c r="B131" s="657" t="s">
        <v>382</v>
      </c>
      <c r="C131" s="120"/>
      <c r="D131" s="810">
        <f>HLOOKUP($J$7,'记账凭证汇总'!$D$1:$BC$175,131)</f>
        <v>0</v>
      </c>
      <c r="E131" s="811">
        <f>HLOOKUP($J$9,'记账凭证汇总'!$D$1:$BC$175,131)</f>
        <v>0</v>
      </c>
      <c r="F131" s="811">
        <f>HLOOKUP($J$10,'记账凭证汇总'!$D$1:$BC$175,131)</f>
        <v>0</v>
      </c>
      <c r="G131" s="812">
        <f>HLOOKUP($J$11,'记账凭证汇总'!$D$1:$BC$175,131)</f>
        <v>0</v>
      </c>
      <c r="H131" s="3"/>
      <c r="I131" s="3"/>
      <c r="J131" s="3"/>
    </row>
    <row r="132" spans="1:10" ht="12.75" customHeight="1" hidden="1">
      <c r="A132" s="633" t="s">
        <v>241</v>
      </c>
      <c r="B132" s="657" t="s">
        <v>513</v>
      </c>
      <c r="C132" s="120"/>
      <c r="D132" s="810">
        <f>HLOOKUP($J$7,'记账凭证汇总'!$D$1:$BC$175,132)</f>
        <v>0</v>
      </c>
      <c r="E132" s="811">
        <f>HLOOKUP($J$9,'记账凭证汇总'!$D$1:$BC$175,132)</f>
        <v>0</v>
      </c>
      <c r="F132" s="811">
        <f>HLOOKUP($J$10,'记账凭证汇总'!$D$1:$BC$175,132)</f>
        <v>0</v>
      </c>
      <c r="G132" s="812">
        <f>HLOOKUP($J$11,'记账凭证汇总'!$D$1:$BC$175,132)</f>
        <v>0</v>
      </c>
      <c r="H132" s="3"/>
      <c r="I132" s="3"/>
      <c r="J132" s="3"/>
    </row>
    <row r="133" spans="1:10" ht="12.75" customHeight="1" hidden="1">
      <c r="A133" s="633" t="s">
        <v>242</v>
      </c>
      <c r="B133" s="657" t="s">
        <v>713</v>
      </c>
      <c r="C133" s="120"/>
      <c r="D133" s="810">
        <f>HLOOKUP($J$7,'记账凭证汇总'!$D$1:$BC$175,133)</f>
        <v>0</v>
      </c>
      <c r="E133" s="811">
        <f>HLOOKUP($J$9,'记账凭证汇总'!$D$1:$BC$175,133)</f>
        <v>0</v>
      </c>
      <c r="F133" s="811">
        <f>HLOOKUP($J$10,'记账凭证汇总'!$D$1:$BC$175,133)</f>
        <v>0</v>
      </c>
      <c r="G133" s="812">
        <f>HLOOKUP($J$11,'记账凭证汇总'!$D$1:$BC$175,133)</f>
        <v>0</v>
      </c>
      <c r="H133" s="3"/>
      <c r="I133" s="3"/>
      <c r="J133" s="3"/>
    </row>
    <row r="134" spans="1:10" ht="12.75" customHeight="1" hidden="1">
      <c r="A134" s="633" t="s">
        <v>243</v>
      </c>
      <c r="B134" s="657" t="s">
        <v>520</v>
      </c>
      <c r="C134" s="120"/>
      <c r="D134" s="810">
        <f>HLOOKUP($J$7,'记账凭证汇总'!$D$1:$BC$175,134)</f>
        <v>0</v>
      </c>
      <c r="E134" s="811">
        <f>HLOOKUP($J$9,'记账凭证汇总'!$D$1:$BC$175,134)</f>
        <v>0</v>
      </c>
      <c r="F134" s="811">
        <f>HLOOKUP($J$10,'记账凭证汇总'!$D$1:$BC$175,134)</f>
        <v>0</v>
      </c>
      <c r="G134" s="812">
        <f>HLOOKUP($J$11,'记账凭证汇总'!$D$1:$BC$175,134)</f>
        <v>0</v>
      </c>
      <c r="H134" s="3"/>
      <c r="I134" s="3"/>
      <c r="J134" s="3"/>
    </row>
    <row r="135" spans="1:10" ht="12.75" customHeight="1" hidden="1">
      <c r="A135" s="633" t="s">
        <v>244</v>
      </c>
      <c r="B135" s="657" t="s">
        <v>383</v>
      </c>
      <c r="C135" s="120"/>
      <c r="D135" s="810">
        <f>HLOOKUP($J$7,'记账凭证汇总'!$D$1:$BC$175,135)</f>
        <v>0</v>
      </c>
      <c r="E135" s="811">
        <f>HLOOKUP($J$9,'记账凭证汇总'!$D$1:$BC$175,135)</f>
        <v>0</v>
      </c>
      <c r="F135" s="811">
        <f>HLOOKUP($J$10,'记账凭证汇总'!$D$1:$BC$175,135)</f>
        <v>0</v>
      </c>
      <c r="G135" s="812">
        <f>HLOOKUP($J$11,'记账凭证汇总'!$D$1:$BC$175,135)</f>
        <v>0</v>
      </c>
      <c r="H135" s="3"/>
      <c r="I135" s="3"/>
      <c r="J135" s="3"/>
    </row>
    <row r="136" spans="1:10" ht="12.75" customHeight="1" hidden="1">
      <c r="A136" s="633" t="s">
        <v>245</v>
      </c>
      <c r="B136" s="73" t="s">
        <v>1019</v>
      </c>
      <c r="C136" s="120"/>
      <c r="D136" s="810">
        <f>HLOOKUP($J$7,'记账凭证汇总'!$D$1:$BC$175,136)</f>
        <v>0</v>
      </c>
      <c r="E136" s="811">
        <f>HLOOKUP($J$9,'记账凭证汇总'!$D$1:$BC$175,136)</f>
        <v>0</v>
      </c>
      <c r="F136" s="811">
        <f>HLOOKUP($J$10,'记账凭证汇总'!$D$1:$BC$175,136)</f>
        <v>0</v>
      </c>
      <c r="G136" s="812">
        <f>HLOOKUP($J$11,'记账凭证汇总'!$D$1:$BC$175,136)</f>
        <v>0</v>
      </c>
      <c r="H136" s="3"/>
      <c r="I136" s="3"/>
      <c r="J136" s="3"/>
    </row>
    <row r="137" spans="1:10" ht="12.75" customHeight="1">
      <c r="A137" s="633" t="s">
        <v>906</v>
      </c>
      <c r="B137" s="73" t="s">
        <v>715</v>
      </c>
      <c r="C137" s="120"/>
      <c r="D137" s="810">
        <f>HLOOKUP($J$7,'记账凭证汇总'!$D$1:$BC$175,137)</f>
        <v>7000</v>
      </c>
      <c r="E137" s="811">
        <f>HLOOKUP($J$9,'记账凭证汇总'!$D$1:$BC$175,137)</f>
        <v>0</v>
      </c>
      <c r="F137" s="811">
        <f>HLOOKUP($J$10,'记账凭证汇总'!$D$1:$BC$175,137)</f>
        <v>0</v>
      </c>
      <c r="G137" s="812">
        <f>HLOOKUP($J$11,'记账凭证汇总'!$D$1:$BC$175,137)</f>
        <v>7000</v>
      </c>
      <c r="H137" s="3"/>
      <c r="I137" s="3"/>
      <c r="J137" s="3"/>
    </row>
    <row r="138" spans="1:10" ht="12.75" customHeight="1" hidden="1">
      <c r="A138" s="633" t="s">
        <v>963</v>
      </c>
      <c r="B138" s="73" t="s">
        <v>713</v>
      </c>
      <c r="C138" s="120"/>
      <c r="D138" s="810">
        <f>HLOOKUP($J$7,'记账凭证汇总'!$D$1:$BC$175,138)</f>
        <v>500</v>
      </c>
      <c r="E138" s="811">
        <f>HLOOKUP($J$9,'记账凭证汇总'!$D$1:$BC$175,138)</f>
        <v>0</v>
      </c>
      <c r="F138" s="811">
        <f>HLOOKUP($J$10,'记账凭证汇总'!$D$1:$BC$175,138)</f>
        <v>0</v>
      </c>
      <c r="G138" s="812">
        <f>HLOOKUP($J$11,'记账凭证汇总'!$D$1:$BC$175,138)</f>
        <v>500</v>
      </c>
      <c r="H138" s="3"/>
      <c r="I138" s="3"/>
      <c r="J138" s="3"/>
    </row>
    <row r="139" spans="1:10" ht="12.75" customHeight="1" hidden="1">
      <c r="A139" s="633" t="s">
        <v>247</v>
      </c>
      <c r="B139" s="73" t="s">
        <v>520</v>
      </c>
      <c r="C139" s="120"/>
      <c r="D139" s="810">
        <f>HLOOKUP($J$7,'记账凭证汇总'!$D$1:$BC$175,139)</f>
        <v>0</v>
      </c>
      <c r="E139" s="811">
        <f>HLOOKUP($J$9,'记账凭证汇总'!$D$1:$BC$175,139)</f>
        <v>0</v>
      </c>
      <c r="F139" s="811">
        <f>HLOOKUP($J$10,'记账凭证汇总'!$D$1:$BC$175,139)</f>
        <v>0</v>
      </c>
      <c r="G139" s="812">
        <f>HLOOKUP($J$11,'记账凭证汇总'!$D$1:$BC$175,139)</f>
        <v>0</v>
      </c>
      <c r="H139" s="3"/>
      <c r="I139" s="3"/>
      <c r="J139" s="3"/>
    </row>
    <row r="140" spans="1:10" ht="12.75" customHeight="1" hidden="1">
      <c r="A140" s="633" t="s">
        <v>248</v>
      </c>
      <c r="B140" s="73" t="s">
        <v>31</v>
      </c>
      <c r="C140" s="120"/>
      <c r="D140" s="810">
        <f>HLOOKUP($J$7,'记账凭证汇总'!$D$1:$BC$175,140)</f>
        <v>0</v>
      </c>
      <c r="E140" s="811">
        <f>HLOOKUP($J$9,'记账凭证汇总'!$D$1:$BC$175,140)</f>
        <v>0</v>
      </c>
      <c r="F140" s="811">
        <f>HLOOKUP($J$10,'记账凭证汇总'!$D$1:$BC$175,140)</f>
        <v>0</v>
      </c>
      <c r="G140" s="812">
        <f>HLOOKUP($J$11,'记账凭证汇总'!$D$1:$BC$175,140)</f>
        <v>0</v>
      </c>
      <c r="H140" s="3"/>
      <c r="I140" s="3"/>
      <c r="J140" s="3"/>
    </row>
    <row r="141" spans="1:10" ht="12.75" customHeight="1" hidden="1">
      <c r="A141" s="633" t="s">
        <v>249</v>
      </c>
      <c r="B141" s="132" t="s">
        <v>30</v>
      </c>
      <c r="C141" s="120"/>
      <c r="D141" s="810">
        <f>HLOOKUP($J$7,'记账凭证汇总'!$D$1:$BC$175,141)</f>
        <v>0</v>
      </c>
      <c r="E141" s="811">
        <f>HLOOKUP($J$9,'记账凭证汇总'!$D$1:$BC$175,141)</f>
        <v>0</v>
      </c>
      <c r="F141" s="811">
        <f>HLOOKUP($J$10,'记账凭证汇总'!$D$1:$BC$175,141)</f>
        <v>0</v>
      </c>
      <c r="G141" s="812">
        <f>HLOOKUP($J$11,'记账凭证汇总'!$D$1:$BC$175,141)</f>
        <v>0</v>
      </c>
      <c r="H141" s="3"/>
      <c r="I141" s="3"/>
      <c r="J141" s="3"/>
    </row>
    <row r="142" spans="1:10" ht="12.75" customHeight="1" hidden="1">
      <c r="A142" s="633" t="s">
        <v>250</v>
      </c>
      <c r="B142" s="132" t="s">
        <v>25</v>
      </c>
      <c r="C142" s="120"/>
      <c r="D142" s="810">
        <f>HLOOKUP($J$7,'记账凭证汇总'!$D$1:$BC$175,142)</f>
        <v>0</v>
      </c>
      <c r="E142" s="811">
        <f>HLOOKUP($J$9,'记账凭证汇总'!$D$1:$BC$175,142)</f>
        <v>0</v>
      </c>
      <c r="F142" s="811">
        <f>HLOOKUP($J$10,'记账凭证汇总'!$D$1:$BC$175,142)</f>
        <v>0</v>
      </c>
      <c r="G142" s="812">
        <f>HLOOKUP($J$11,'记账凭证汇总'!$D$1:$BC$175,142)</f>
        <v>0</v>
      </c>
      <c r="H142" s="3"/>
      <c r="I142" s="3"/>
      <c r="J142" s="3"/>
    </row>
    <row r="143" spans="1:10" ht="12.75" customHeight="1" hidden="1">
      <c r="A143" s="633" t="s">
        <v>251</v>
      </c>
      <c r="B143" s="132" t="s">
        <v>694</v>
      </c>
      <c r="C143" s="120"/>
      <c r="D143" s="810">
        <f>HLOOKUP($J$7,'记账凭证汇总'!$D$1:$BC$175,143)</f>
        <v>0</v>
      </c>
      <c r="E143" s="811">
        <f>HLOOKUP($J$9,'记账凭证汇总'!$D$1:$BC$175,143)</f>
        <v>0</v>
      </c>
      <c r="F143" s="811">
        <f>HLOOKUP($J$10,'记账凭证汇总'!$D$1:$BC$175,143)</f>
        <v>0</v>
      </c>
      <c r="G143" s="812">
        <f>HLOOKUP($J$11,'记账凭证汇总'!$D$1:$BC$175,143)</f>
        <v>0</v>
      </c>
      <c r="H143" s="3"/>
      <c r="I143" s="3"/>
      <c r="J143" s="3"/>
    </row>
    <row r="144" spans="1:10" ht="12.75" customHeight="1" hidden="1">
      <c r="A144" s="633" t="s">
        <v>252</v>
      </c>
      <c r="B144" s="132" t="s">
        <v>1017</v>
      </c>
      <c r="C144" s="120"/>
      <c r="D144" s="810">
        <f>HLOOKUP($J$7,'记账凭证汇总'!$D$1:$BC$175,144)</f>
        <v>0</v>
      </c>
      <c r="E144" s="811">
        <f>HLOOKUP($J$9,'记账凭证汇总'!$D$1:$BC$175,144)</f>
        <v>0</v>
      </c>
      <c r="F144" s="811">
        <f>HLOOKUP($J$10,'记账凭证汇总'!$D$1:$BC$175,144)</f>
        <v>0</v>
      </c>
      <c r="G144" s="812">
        <f>HLOOKUP($J$11,'记账凭证汇总'!$D$1:$BC$175,144)</f>
        <v>0</v>
      </c>
      <c r="H144" s="3"/>
      <c r="I144" s="3"/>
      <c r="J144" s="3"/>
    </row>
    <row r="145" spans="1:10" ht="12.75" customHeight="1" hidden="1">
      <c r="A145" s="633" t="s">
        <v>253</v>
      </c>
      <c r="B145" s="132" t="s">
        <v>1018</v>
      </c>
      <c r="C145" s="120"/>
      <c r="D145" s="810">
        <f>HLOOKUP($J$7,'记账凭证汇总'!$D$1:$BC$175,145)</f>
        <v>0</v>
      </c>
      <c r="E145" s="811">
        <f>HLOOKUP($J$9,'记账凭证汇总'!$D$1:$BC$175,145)</f>
        <v>0</v>
      </c>
      <c r="F145" s="811">
        <f>HLOOKUP($J$10,'记账凭证汇总'!$D$1:$BC$175,145)</f>
        <v>0</v>
      </c>
      <c r="G145" s="812">
        <f>HLOOKUP($J$11,'记账凭证汇总'!$D$1:$BC$175,145)</f>
        <v>0</v>
      </c>
      <c r="H145" s="3"/>
      <c r="I145" s="3"/>
      <c r="J145" s="3"/>
    </row>
    <row r="146" spans="1:10" ht="12.75" customHeight="1" hidden="1">
      <c r="A146" s="633" t="s">
        <v>254</v>
      </c>
      <c r="B146" s="132" t="s">
        <v>384</v>
      </c>
      <c r="C146" s="120"/>
      <c r="D146" s="810">
        <f>HLOOKUP($J$7,'记账凭证汇总'!$D$1:$BC$175,146)</f>
        <v>0</v>
      </c>
      <c r="E146" s="811">
        <f>HLOOKUP($J$9,'记账凭证汇总'!$D$1:$BC$175,146)</f>
        <v>0</v>
      </c>
      <c r="F146" s="811">
        <f>HLOOKUP($J$10,'记账凭证汇总'!$D$1:$BC$175,146)</f>
        <v>0</v>
      </c>
      <c r="G146" s="812">
        <f>HLOOKUP($J$11,'记账凭证汇总'!$D$1:$BC$175,146)</f>
        <v>0</v>
      </c>
      <c r="H146" s="3"/>
      <c r="I146" s="3"/>
      <c r="J146" s="3"/>
    </row>
    <row r="147" spans="1:10" ht="12.75" customHeight="1" hidden="1">
      <c r="A147" s="633" t="s">
        <v>255</v>
      </c>
      <c r="B147" s="132" t="s">
        <v>385</v>
      </c>
      <c r="C147" s="120"/>
      <c r="D147" s="810">
        <f>HLOOKUP($J$7,'记账凭证汇总'!$D$1:$BC$175,147)</f>
        <v>0</v>
      </c>
      <c r="E147" s="811">
        <f>HLOOKUP($J$9,'记账凭证汇总'!$D$1:$BC$175,147)</f>
        <v>0</v>
      </c>
      <c r="F147" s="811">
        <f>HLOOKUP($J$10,'记账凭证汇总'!$D$1:$BC$175,147)</f>
        <v>0</v>
      </c>
      <c r="G147" s="812">
        <f>HLOOKUP($J$11,'记账凭证汇总'!$D$1:$BC$175,147)</f>
        <v>0</v>
      </c>
      <c r="H147" s="3"/>
      <c r="I147" s="3"/>
      <c r="J147" s="3"/>
    </row>
    <row r="148" spans="1:10" ht="12.75" customHeight="1" hidden="1">
      <c r="A148" s="633" t="s">
        <v>256</v>
      </c>
      <c r="B148" s="132" t="s">
        <v>29</v>
      </c>
      <c r="C148" s="120"/>
      <c r="D148" s="810">
        <f>HLOOKUP($J$7,'记账凭证汇总'!$D$1:$BC$175,148)</f>
        <v>0</v>
      </c>
      <c r="E148" s="811">
        <f>HLOOKUP($J$9,'记账凭证汇总'!$D$1:$BC$175,148)</f>
        <v>0</v>
      </c>
      <c r="F148" s="811">
        <f>HLOOKUP($J$10,'记账凭证汇总'!$D$1:$BC$175,148)</f>
        <v>0</v>
      </c>
      <c r="G148" s="812">
        <f>HLOOKUP($J$11,'记账凭证汇总'!$D$1:$BC$175,148)</f>
        <v>0</v>
      </c>
      <c r="H148" s="3"/>
      <c r="I148" s="3"/>
      <c r="J148" s="3"/>
    </row>
    <row r="149" spans="1:10" ht="12.75" customHeight="1" hidden="1">
      <c r="A149" s="633" t="s">
        <v>257</v>
      </c>
      <c r="B149" s="132" t="s">
        <v>27</v>
      </c>
      <c r="C149" s="120"/>
      <c r="D149" s="810">
        <f>HLOOKUP($J$7,'记账凭证汇总'!$D$1:$BC$175,149)</f>
        <v>0</v>
      </c>
      <c r="E149" s="811">
        <f>HLOOKUP($J$9,'记账凭证汇总'!$D$1:$BC$175,149)</f>
        <v>0</v>
      </c>
      <c r="F149" s="811">
        <f>HLOOKUP($J$10,'记账凭证汇总'!$D$1:$BC$175,149)</f>
        <v>0</v>
      </c>
      <c r="G149" s="812">
        <f>HLOOKUP($J$11,'记账凭证汇总'!$D$1:$BC$175,149)</f>
        <v>0</v>
      </c>
      <c r="H149" s="3"/>
      <c r="I149" s="3"/>
      <c r="J149" s="3"/>
    </row>
    <row r="150" spans="1:10" ht="12.75" customHeight="1" hidden="1">
      <c r="A150" s="633" t="s">
        <v>258</v>
      </c>
      <c r="B150" s="132" t="s">
        <v>28</v>
      </c>
      <c r="C150" s="120"/>
      <c r="D150" s="810">
        <f>HLOOKUP($J$7,'记账凭证汇总'!$D$1:$BC$175,150)</f>
        <v>0</v>
      </c>
      <c r="E150" s="811">
        <f>HLOOKUP($J$9,'记账凭证汇总'!$D$1:$BC$175,150)</f>
        <v>0</v>
      </c>
      <c r="F150" s="811">
        <f>HLOOKUP($J$10,'记账凭证汇总'!$D$1:$BC$175,150)</f>
        <v>0</v>
      </c>
      <c r="G150" s="812">
        <f>HLOOKUP($J$11,'记账凭证汇总'!$D$1:$BC$175,150)</f>
        <v>0</v>
      </c>
      <c r="H150" s="3"/>
      <c r="I150" s="3"/>
      <c r="J150" s="3"/>
    </row>
    <row r="151" spans="1:10" ht="12.75" customHeight="1" hidden="1">
      <c r="A151" s="633" t="s">
        <v>259</v>
      </c>
      <c r="B151" s="132" t="s">
        <v>24</v>
      </c>
      <c r="C151" s="120"/>
      <c r="D151" s="810">
        <f>HLOOKUP($J$7,'记账凭证汇总'!$D$1:$BC$175,151)</f>
        <v>0</v>
      </c>
      <c r="E151" s="811">
        <f>HLOOKUP($J$9,'记账凭证汇总'!$D$1:$BC$175,151)</f>
        <v>0</v>
      </c>
      <c r="F151" s="811">
        <f>HLOOKUP($J$10,'记账凭证汇总'!$D$1:$BC$175,151)</f>
        <v>0</v>
      </c>
      <c r="G151" s="812">
        <f>HLOOKUP($J$11,'记账凭证汇总'!$D$1:$BC$175,151)</f>
        <v>0</v>
      </c>
      <c r="H151" s="3"/>
      <c r="I151" s="3"/>
      <c r="J151" s="3"/>
    </row>
    <row r="152" spans="1:10" ht="12.75" customHeight="1" hidden="1">
      <c r="A152" s="633" t="s">
        <v>260</v>
      </c>
      <c r="B152" s="132" t="s">
        <v>695</v>
      </c>
      <c r="C152" s="120"/>
      <c r="D152" s="810">
        <f>HLOOKUP($J$7,'记账凭证汇总'!$D$1:$BC$175,152)</f>
        <v>0</v>
      </c>
      <c r="E152" s="811">
        <f>HLOOKUP($J$9,'记账凭证汇总'!$D$1:$BC$175,152)</f>
        <v>0</v>
      </c>
      <c r="F152" s="811">
        <f>HLOOKUP($J$10,'记账凭证汇总'!$D$1:$BC$175,152)</f>
        <v>0</v>
      </c>
      <c r="G152" s="812">
        <f>HLOOKUP($J$11,'记账凭证汇总'!$D$1:$BC$175,152)</f>
        <v>0</v>
      </c>
      <c r="H152" s="3"/>
      <c r="I152" s="3"/>
      <c r="J152" s="3"/>
    </row>
    <row r="153" spans="1:10" ht="12.75" customHeight="1" hidden="1">
      <c r="A153" s="633" t="s">
        <v>261</v>
      </c>
      <c r="B153" s="132" t="s">
        <v>696</v>
      </c>
      <c r="C153" s="120"/>
      <c r="D153" s="810">
        <f>HLOOKUP($J$7,'记账凭证汇总'!$D$1:$BC$175,153)</f>
        <v>0</v>
      </c>
      <c r="E153" s="811">
        <f>HLOOKUP($J$9,'记账凭证汇总'!$D$1:$BC$175,153)</f>
        <v>0</v>
      </c>
      <c r="F153" s="811">
        <f>HLOOKUP($J$10,'记账凭证汇总'!$D$1:$BC$175,153)</f>
        <v>0</v>
      </c>
      <c r="G153" s="812">
        <f>HLOOKUP($J$11,'记账凭证汇总'!$D$1:$BC$175,153)</f>
        <v>0</v>
      </c>
      <c r="H153" s="3"/>
      <c r="I153" s="3"/>
      <c r="J153" s="3"/>
    </row>
    <row r="154" spans="1:10" ht="12.75" customHeight="1" hidden="1">
      <c r="A154" s="633" t="s">
        <v>262</v>
      </c>
      <c r="B154" s="132" t="s">
        <v>697</v>
      </c>
      <c r="C154" s="120"/>
      <c r="D154" s="810">
        <f>HLOOKUP($J$7,'记账凭证汇总'!$D$1:$BC$175,154)</f>
        <v>0</v>
      </c>
      <c r="E154" s="811">
        <f>HLOOKUP($J$9,'记账凭证汇总'!$D$1:$BC$175,154)</f>
        <v>0</v>
      </c>
      <c r="F154" s="811">
        <f>HLOOKUP($J$10,'记账凭证汇总'!$D$1:$BC$175,154)</f>
        <v>0</v>
      </c>
      <c r="G154" s="812">
        <f>HLOOKUP($J$11,'记账凭证汇总'!$D$1:$BC$175,154)</f>
        <v>0</v>
      </c>
      <c r="H154" s="3"/>
      <c r="I154" s="3"/>
      <c r="J154" s="3"/>
    </row>
    <row r="155" spans="1:10" ht="12.75" customHeight="1" hidden="1">
      <c r="A155" s="633" t="s">
        <v>263</v>
      </c>
      <c r="B155" s="835" t="s">
        <v>698</v>
      </c>
      <c r="C155" s="120"/>
      <c r="D155" s="810">
        <f>HLOOKUP($J$7,'记账凭证汇总'!$D$1:$BC$175,155)</f>
        <v>0</v>
      </c>
      <c r="E155" s="811">
        <f>HLOOKUP($J$9,'记账凭证汇总'!$D$1:$BC$175,155)</f>
        <v>0</v>
      </c>
      <c r="F155" s="811">
        <f>HLOOKUP($J$10,'记账凭证汇总'!$D$1:$BC$175,155)</f>
        <v>0</v>
      </c>
      <c r="G155" s="812">
        <f>HLOOKUP($J$11,'记账凭证汇总'!$D$1:$BC$175,155)</f>
        <v>0</v>
      </c>
      <c r="H155" s="3"/>
      <c r="I155" s="3"/>
      <c r="J155" s="3"/>
    </row>
    <row r="156" spans="1:10" ht="12.75" customHeight="1" hidden="1">
      <c r="A156" s="633" t="s">
        <v>264</v>
      </c>
      <c r="B156" s="835" t="s">
        <v>457</v>
      </c>
      <c r="C156" s="120"/>
      <c r="D156" s="810">
        <f>HLOOKUP($J$7,'记账凭证汇总'!$D$1:$BC$175,156)</f>
        <v>600</v>
      </c>
      <c r="E156" s="811">
        <f>HLOOKUP($J$9,'记账凭证汇总'!$D$1:$BC$175,156)</f>
        <v>0</v>
      </c>
      <c r="F156" s="811">
        <f>HLOOKUP($J$10,'记账凭证汇总'!$D$1:$BC$175,156)</f>
        <v>0</v>
      </c>
      <c r="G156" s="812">
        <f>HLOOKUP($J$11,'记账凭证汇总'!$D$1:$BC$175,156)</f>
        <v>600</v>
      </c>
      <c r="H156" s="3"/>
      <c r="I156" s="3"/>
      <c r="J156" s="3"/>
    </row>
    <row r="157" spans="1:10" ht="12.75" customHeight="1" hidden="1">
      <c r="A157" s="633" t="s">
        <v>265</v>
      </c>
      <c r="B157" s="835" t="s">
        <v>513</v>
      </c>
      <c r="C157" s="120"/>
      <c r="D157" s="810">
        <f>HLOOKUP($J$7,'记账凭证汇总'!$D$1:$BC$175,157)</f>
        <v>0</v>
      </c>
      <c r="E157" s="811">
        <f>HLOOKUP($J$9,'记账凭证汇总'!$D$1:$BC$175,157)</f>
        <v>0</v>
      </c>
      <c r="F157" s="811">
        <f>HLOOKUP($J$10,'记账凭证汇总'!$D$1:$BC$175,157)</f>
        <v>0</v>
      </c>
      <c r="G157" s="812">
        <f>HLOOKUP($J$11,'记账凭证汇总'!$D$1:$BC$175,157)</f>
        <v>0</v>
      </c>
      <c r="H157" s="3"/>
      <c r="I157" s="3"/>
      <c r="J157" s="3"/>
    </row>
    <row r="158" spans="1:10" ht="12.75" customHeight="1" hidden="1">
      <c r="A158" s="633" t="s">
        <v>266</v>
      </c>
      <c r="B158" s="835" t="s">
        <v>32</v>
      </c>
      <c r="C158" s="110"/>
      <c r="D158" s="810">
        <f>HLOOKUP($J$7,'记账凭证汇总'!$D$1:$BC$175,158)</f>
        <v>5900</v>
      </c>
      <c r="E158" s="811">
        <f>HLOOKUP($J$9,'记账凭证汇总'!$D$1:$BC$175,158)</f>
        <v>0</v>
      </c>
      <c r="F158" s="811">
        <f>HLOOKUP($J$10,'记账凭证汇总'!$D$1:$BC$175,158)</f>
        <v>0</v>
      </c>
      <c r="G158" s="812">
        <f>HLOOKUP($J$11,'记账凭证汇总'!$D$1:$BC$175,158)</f>
        <v>5900</v>
      </c>
      <c r="H158" s="3"/>
      <c r="I158" s="3"/>
      <c r="J158" s="3"/>
    </row>
    <row r="159" spans="1:10" ht="12.75" customHeight="1" hidden="1">
      <c r="A159" s="633" t="s">
        <v>267</v>
      </c>
      <c r="B159" s="835" t="s">
        <v>699</v>
      </c>
      <c r="C159" s="110"/>
      <c r="D159" s="810">
        <f>HLOOKUP($J$7,'记账凭证汇总'!$D$1:$BC$175,159)</f>
        <v>0</v>
      </c>
      <c r="E159" s="811">
        <f>HLOOKUP($J$9,'记账凭证汇总'!$D$1:$BC$175,159)</f>
        <v>0</v>
      </c>
      <c r="F159" s="811">
        <f>HLOOKUP($J$10,'记账凭证汇总'!$D$1:$BC$175,159)</f>
        <v>0</v>
      </c>
      <c r="G159" s="812">
        <f>HLOOKUP($J$11,'记账凭证汇总'!$D$1:$BC$175,159)</f>
        <v>0</v>
      </c>
      <c r="H159" s="3"/>
      <c r="I159" s="3"/>
      <c r="J159" s="3"/>
    </row>
    <row r="160" spans="1:10" ht="12.75" customHeight="1" hidden="1">
      <c r="A160" s="633" t="s">
        <v>268</v>
      </c>
      <c r="B160" s="132" t="s">
        <v>34</v>
      </c>
      <c r="C160" s="110"/>
      <c r="D160" s="810">
        <f>HLOOKUP($J$7,'记账凭证汇总'!$D$1:$BC$175,160)</f>
        <v>0</v>
      </c>
      <c r="E160" s="811">
        <f>HLOOKUP($J$9,'记账凭证汇总'!$D$1:$BC$175,160)</f>
        <v>0</v>
      </c>
      <c r="F160" s="811">
        <f>HLOOKUP($J$10,'记账凭证汇总'!$D$1:$BC$175,160)</f>
        <v>0</v>
      </c>
      <c r="G160" s="812">
        <f>HLOOKUP($J$11,'记账凭证汇总'!$D$1:$BC$175,160)</f>
        <v>0</v>
      </c>
      <c r="H160" s="3"/>
      <c r="I160" s="3"/>
      <c r="J160" s="3"/>
    </row>
    <row r="161" spans="1:10" ht="12.75" customHeight="1" hidden="1">
      <c r="A161" s="633" t="s">
        <v>269</v>
      </c>
      <c r="B161" s="835" t="s">
        <v>33</v>
      </c>
      <c r="C161" s="110"/>
      <c r="D161" s="810">
        <f>HLOOKUP($J$7,'记账凭证汇总'!$D$1:$BC$175,161)</f>
        <v>0</v>
      </c>
      <c r="E161" s="811">
        <f>HLOOKUP($J$9,'记账凭证汇总'!$D$1:$BC$175,161)</f>
        <v>0</v>
      </c>
      <c r="F161" s="811">
        <f>HLOOKUP($J$10,'记账凭证汇总'!$D$1:$BC$175,161)</f>
        <v>0</v>
      </c>
      <c r="G161" s="812">
        <f>HLOOKUP($J$11,'记账凭证汇总'!$D$1:$BC$175,161)</f>
        <v>0</v>
      </c>
      <c r="H161" s="3"/>
      <c r="I161" s="3"/>
      <c r="J161" s="3"/>
    </row>
    <row r="162" spans="1:10" ht="12.75" customHeight="1" hidden="1">
      <c r="A162" s="633" t="s">
        <v>270</v>
      </c>
      <c r="B162" s="132" t="s">
        <v>35</v>
      </c>
      <c r="C162" s="110"/>
      <c r="D162" s="810">
        <f>HLOOKUP($J$7,'记账凭证汇总'!$D$1:$BC$175,162)</f>
        <v>0</v>
      </c>
      <c r="E162" s="811">
        <f>HLOOKUP($J$9,'记账凭证汇总'!$D$1:$BC$175,162)</f>
        <v>0</v>
      </c>
      <c r="F162" s="811">
        <f>HLOOKUP($J$10,'记账凭证汇总'!$D$1:$BC$175,162)</f>
        <v>0</v>
      </c>
      <c r="G162" s="812">
        <f>HLOOKUP($J$11,'记账凭证汇总'!$D$1:$BC$175,162)</f>
        <v>0</v>
      </c>
      <c r="H162" s="3"/>
      <c r="I162" s="3"/>
      <c r="J162" s="3"/>
    </row>
    <row r="163" spans="1:10" ht="12.75" customHeight="1" hidden="1">
      <c r="A163" s="633" t="s">
        <v>271</v>
      </c>
      <c r="B163" s="835" t="s">
        <v>449</v>
      </c>
      <c r="C163" s="110"/>
      <c r="D163" s="810">
        <f>HLOOKUP($J$7,'记账凭证汇总'!$D$1:$BC$175,163)</f>
        <v>0</v>
      </c>
      <c r="E163" s="811">
        <f>HLOOKUP($J$9,'记账凭证汇总'!$D$1:$BC$175,163)</f>
        <v>0</v>
      </c>
      <c r="F163" s="811">
        <f>HLOOKUP($J$10,'记账凭证汇总'!$D$1:$BC$175,163)</f>
        <v>0</v>
      </c>
      <c r="G163" s="812">
        <f>HLOOKUP($J$11,'记账凭证汇总'!$D$1:$BC$175,163)</f>
        <v>0</v>
      </c>
      <c r="H163" s="3"/>
      <c r="I163" s="3"/>
      <c r="J163" s="3"/>
    </row>
    <row r="164" spans="1:10" ht="12.75" customHeight="1" hidden="1">
      <c r="A164" s="633" t="s">
        <v>272</v>
      </c>
      <c r="B164" s="132" t="s">
        <v>700</v>
      </c>
      <c r="C164" s="110"/>
      <c r="D164" s="810">
        <f>HLOOKUP($J$7,'记账凭证汇总'!$D$1:$BC$175,164)</f>
        <v>0</v>
      </c>
      <c r="E164" s="811">
        <f>HLOOKUP($J$9,'记账凭证汇总'!$D$1:$BC$175,164)</f>
        <v>0</v>
      </c>
      <c r="F164" s="811">
        <f>HLOOKUP($J$10,'记账凭证汇总'!$D$1:$BC$175,164)</f>
        <v>0</v>
      </c>
      <c r="G164" s="812">
        <f>HLOOKUP($J$11,'记账凭证汇总'!$D$1:$BC$175,164)</f>
        <v>0</v>
      </c>
      <c r="H164" s="3"/>
      <c r="I164" s="3"/>
      <c r="J164" s="3"/>
    </row>
    <row r="165" spans="1:10" ht="12.75" customHeight="1" hidden="1">
      <c r="A165" s="633" t="s">
        <v>273</v>
      </c>
      <c r="B165" s="73" t="s">
        <v>49</v>
      </c>
      <c r="C165" s="110"/>
      <c r="D165" s="810">
        <f>HLOOKUP($J$7,'记账凭证汇总'!$D$1:$BC$175,165)</f>
        <v>0</v>
      </c>
      <c r="E165" s="811">
        <f>HLOOKUP($J$9,'记账凭证汇总'!$D$1:$BC$175,165)</f>
        <v>0</v>
      </c>
      <c r="F165" s="811">
        <f>HLOOKUP($J$10,'记账凭证汇总'!$D$1:$BC$175,165)</f>
        <v>0</v>
      </c>
      <c r="G165" s="812">
        <f>HLOOKUP($J$11,'记账凭证汇总'!$D$1:$BC$175,165)</f>
        <v>0</v>
      </c>
      <c r="H165" s="3"/>
      <c r="I165" s="3"/>
      <c r="J165" s="3"/>
    </row>
    <row r="166" spans="1:10" ht="12.75" customHeight="1" hidden="1">
      <c r="A166" s="633" t="s">
        <v>274</v>
      </c>
      <c r="B166" s="283" t="s">
        <v>26</v>
      </c>
      <c r="C166" s="110"/>
      <c r="D166" s="810">
        <f>HLOOKUP($J$7,'记账凭证汇总'!$D$1:$BC$175,166)</f>
        <v>0</v>
      </c>
      <c r="E166" s="811">
        <f>HLOOKUP($J$9,'记账凭证汇总'!$D$1:$BC$175,166)</f>
        <v>0</v>
      </c>
      <c r="F166" s="811">
        <f>HLOOKUP($J$10,'记账凭证汇总'!$D$1:$BC$175,166)</f>
        <v>0</v>
      </c>
      <c r="G166" s="812">
        <f>HLOOKUP($J$11,'记账凭证汇总'!$D$1:$BC$175,166)</f>
        <v>0</v>
      </c>
      <c r="H166" s="3"/>
      <c r="I166" s="3"/>
      <c r="J166" s="3"/>
    </row>
    <row r="167" spans="1:10" ht="12.75" customHeight="1" hidden="1">
      <c r="A167" s="633" t="s">
        <v>368</v>
      </c>
      <c r="B167" s="283" t="s">
        <v>1019</v>
      </c>
      <c r="C167" s="110"/>
      <c r="D167" s="810">
        <f>HLOOKUP($J$7,'记账凭证汇总'!$D$1:$BC$175,167)</f>
        <v>0</v>
      </c>
      <c r="E167" s="811">
        <f>HLOOKUP($J$9,'记账凭证汇总'!$D$1:$BC$175,167)</f>
        <v>0</v>
      </c>
      <c r="F167" s="811">
        <f>HLOOKUP($J$10,'记账凭证汇总'!$D$1:$BC$175,167)</f>
        <v>0</v>
      </c>
      <c r="G167" s="812">
        <f>HLOOKUP($J$11,'记账凭证汇总'!$D$1:$BC$175,167)</f>
        <v>0</v>
      </c>
      <c r="H167" s="3"/>
      <c r="I167" s="3"/>
      <c r="J167" s="3"/>
    </row>
    <row r="168" spans="1:10" ht="12.75" customHeight="1">
      <c r="A168" s="633" t="s">
        <v>908</v>
      </c>
      <c r="B168" s="283" t="s">
        <v>718</v>
      </c>
      <c r="C168" s="110"/>
      <c r="D168" s="810">
        <f>HLOOKUP($J$7,'记账凭证汇总'!$D$1:$BC$175,168)</f>
        <v>1200</v>
      </c>
      <c r="E168" s="811">
        <f>HLOOKUP($J$9,'记账凭证汇总'!$D$1:$BC$175,168)</f>
        <v>0</v>
      </c>
      <c r="F168" s="811">
        <f>HLOOKUP($J$10,'记账凭证汇总'!$D$1:$BC$175,168)</f>
        <v>0</v>
      </c>
      <c r="G168" s="812">
        <f>HLOOKUP($J$11,'记账凭证汇总'!$D$1:$BC$175,168)</f>
        <v>1200</v>
      </c>
      <c r="H168" s="3"/>
      <c r="I168" s="3"/>
      <c r="J168" s="3"/>
    </row>
    <row r="169" spans="1:10" ht="12.75" customHeight="1" hidden="1">
      <c r="A169" s="633" t="s">
        <v>964</v>
      </c>
      <c r="B169" s="283" t="s">
        <v>737</v>
      </c>
      <c r="C169" s="110"/>
      <c r="D169" s="810">
        <f>HLOOKUP($J$7,'记账凭证汇总'!$D$1:$BC$175,169)</f>
        <v>1200</v>
      </c>
      <c r="E169" s="811">
        <f>HLOOKUP($J$9,'记账凭证汇总'!$D$1:$BC$175,169)</f>
        <v>0</v>
      </c>
      <c r="F169" s="811">
        <f>HLOOKUP($J$10,'记账凭证汇总'!$D$1:$BC$175,169)</f>
        <v>0</v>
      </c>
      <c r="G169" s="812">
        <f>HLOOKUP($J$11,'记账凭证汇总'!$D$1:$BC$175,169)</f>
        <v>1200</v>
      </c>
      <c r="H169" s="3"/>
      <c r="I169" s="3"/>
      <c r="J169" s="3"/>
    </row>
    <row r="170" spans="1:10" ht="12.75" customHeight="1" hidden="1">
      <c r="A170" s="633" t="s">
        <v>276</v>
      </c>
      <c r="B170" s="283" t="s">
        <v>701</v>
      </c>
      <c r="C170" s="110"/>
      <c r="D170" s="810">
        <f>HLOOKUP($J$7,'记账凭证汇总'!$D$1:$BC$175,170)</f>
        <v>0</v>
      </c>
      <c r="E170" s="811">
        <f>HLOOKUP($J$9,'记账凭证汇总'!$D$1:$BC$175,170)</f>
        <v>0</v>
      </c>
      <c r="F170" s="811">
        <f>HLOOKUP($J$10,'记账凭证汇总'!$D$1:$BC$175,170)</f>
        <v>0</v>
      </c>
      <c r="G170" s="812">
        <f>HLOOKUP($J$11,'记账凭证汇总'!$D$1:$BC$175,170)</f>
        <v>0</v>
      </c>
      <c r="H170" s="3"/>
      <c r="I170" s="3"/>
      <c r="J170" s="3"/>
    </row>
    <row r="171" spans="1:10" ht="12.75" customHeight="1" hidden="1">
      <c r="A171" s="633" t="s">
        <v>366</v>
      </c>
      <c r="B171" s="283" t="s">
        <v>1019</v>
      </c>
      <c r="C171" s="110"/>
      <c r="D171" s="810">
        <f>HLOOKUP($J$7,'记账凭证汇总'!$D$1:$BC$175,171)</f>
        <v>0</v>
      </c>
      <c r="E171" s="811">
        <f>HLOOKUP($J$9,'记账凭证汇总'!$D$1:$BC$175,171)</f>
        <v>0</v>
      </c>
      <c r="F171" s="811">
        <f>HLOOKUP($J$10,'记账凭证汇总'!$D$1:$BC$175,171)</f>
        <v>0</v>
      </c>
      <c r="G171" s="812">
        <f>HLOOKUP($J$11,'记账凭证汇总'!$D$1:$BC$175,171)</f>
        <v>0</v>
      </c>
      <c r="H171" s="3"/>
      <c r="I171" s="3"/>
      <c r="J171" s="3"/>
    </row>
    <row r="172" spans="1:10" ht="12.75" customHeight="1">
      <c r="A172" s="633" t="s">
        <v>910</v>
      </c>
      <c r="B172" s="283" t="s">
        <v>751</v>
      </c>
      <c r="C172" s="110"/>
      <c r="D172" s="810">
        <f>HLOOKUP($J$7,'记账凭证汇总'!$D$1:$BC$175,172)</f>
        <v>0</v>
      </c>
      <c r="E172" s="811">
        <f>HLOOKUP($J$9,'记账凭证汇总'!$D$1:$BC$175,172)</f>
        <v>0</v>
      </c>
      <c r="F172" s="811">
        <f>HLOOKUP($J$10,'记账凭证汇总'!$D$1:$BC$175,172)</f>
        <v>0</v>
      </c>
      <c r="G172" s="812">
        <f>HLOOKUP($J$11,'记账凭证汇总'!$D$1:$BC$175,172)</f>
        <v>0</v>
      </c>
      <c r="H172" s="3"/>
      <c r="I172" s="3"/>
      <c r="J172" s="3"/>
    </row>
    <row r="173" spans="1:10" ht="12.75" customHeight="1">
      <c r="A173" s="633" t="s">
        <v>912</v>
      </c>
      <c r="B173" s="283" t="s">
        <v>741</v>
      </c>
      <c r="C173" s="110"/>
      <c r="D173" s="810">
        <f>HLOOKUP($J$7,'记账凭证汇总'!$D$1:$BC$175,173)</f>
        <v>0</v>
      </c>
      <c r="E173" s="811">
        <f>HLOOKUP($J$9,'记账凭证汇总'!$D$1:$BC$175,173)</f>
        <v>0</v>
      </c>
      <c r="F173" s="811">
        <f>HLOOKUP($J$10,'记账凭证汇总'!$D$1:$BC$175,173)</f>
        <v>0</v>
      </c>
      <c r="G173" s="812">
        <f>HLOOKUP($J$11,'记账凭证汇总'!$D$1:$BC$175,173)</f>
        <v>0</v>
      </c>
      <c r="H173" s="3"/>
      <c r="I173" s="3"/>
      <c r="J173" s="3"/>
    </row>
    <row r="174" spans="1:10" ht="12.75" customHeight="1">
      <c r="A174" s="633" t="s">
        <v>914</v>
      </c>
      <c r="B174" s="283" t="s">
        <v>702</v>
      </c>
      <c r="C174" s="110"/>
      <c r="D174" s="828">
        <f>HLOOKUP($J$7,'记账凭证汇总'!$D$1:$BC$175,174)</f>
        <v>0</v>
      </c>
      <c r="E174" s="811">
        <f>HLOOKUP($J$9,'记账凭证汇总'!$D$1:$BC$175,174)</f>
        <v>0</v>
      </c>
      <c r="F174" s="811">
        <f>HLOOKUP($J$10,'记账凭证汇总'!$D$1:$BC$175,174)</f>
        <v>0</v>
      </c>
      <c r="G174" s="812">
        <f>HLOOKUP($J$11,'记账凭证汇总'!$D$1:$BC$175,174)</f>
        <v>0</v>
      </c>
      <c r="H174" s="3"/>
      <c r="I174" s="3"/>
      <c r="J174" s="3"/>
    </row>
    <row r="175" spans="1:10" ht="18.75" customHeight="1" thickBot="1">
      <c r="A175" s="914" t="s">
        <v>61</v>
      </c>
      <c r="B175" s="915"/>
      <c r="C175" s="829"/>
      <c r="D175" s="830">
        <f>D9+D10+D11+D18-D23+D24+D25+D26+D27-D28+D29+D30+D31+D32+D33+D34+D35-D36+D37+D38+D41+D44-D45+D46+D47+D52+D53+D54-D55-D56-D57-D58-D59-D60-D61-D73-D74-D75-D76-D79-D80-D81-D82-D87-D91-D92+D100+D108-D119-D120-D121-D122+D123+D124+D125+D126+D137+D168+D172+D173+D174</f>
        <v>-1.30385160446167E-08</v>
      </c>
      <c r="E175" s="831">
        <f>E9+E10+E11+E18+E23+E24+E25+E26+E27+E28+E29+E30+E31+E32+E33+E34+E35+E36+E37+E38+E41+E44+E45+E46+E47+E52+E53+E54+E55+E56+E57+E58+E59+E60+E61+E73+E74+E75+E76+E79+E80+E81+E82+E87+E91+E92+E100+E108+E119+E120+E121+E122+E123+E124+E125+E126+E137+E168+E172+E173+E174</f>
        <v>0</v>
      </c>
      <c r="F175" s="831">
        <f>F9+F10+F11+F18+F23+F24+F25+F26+F27+F28+F29+F30+F31+F32+F33+F34+F35+F36+F37+F38+F41+F44+F45+F46+F47+F52+F53+F54+F55+F56+F57+F58+F59+F60+F61+F73+F74+F75+F76+F79+F80+F81+F82+F87+F91+F92+F100+F108+F119+F120+F121+F122+F123+F124+F125+F126+F137+F168+F172+F173+F174</f>
        <v>0</v>
      </c>
      <c r="G175" s="832">
        <v>-1.3969838619232178E-08</v>
      </c>
      <c r="H175" s="3"/>
      <c r="I175" s="3"/>
      <c r="J175" s="3"/>
    </row>
    <row r="176" spans="1:10" ht="3.75" customHeight="1">
      <c r="A176" s="3"/>
      <c r="B176" s="3"/>
      <c r="C176" s="3"/>
      <c r="D176" s="857"/>
      <c r="E176" s="3"/>
      <c r="F176" s="3"/>
      <c r="G176" s="3"/>
      <c r="H176" s="3"/>
      <c r="I176" s="3"/>
      <c r="J176" s="3"/>
    </row>
    <row r="177" spans="1:10" ht="21.75" customHeight="1">
      <c r="A177" s="121">
        <f ca="1">NOW()</f>
        <v>38825.56742395833</v>
      </c>
      <c r="B177" s="413"/>
      <c r="C177" s="3"/>
      <c r="D177" s="3"/>
      <c r="E177" s="3"/>
      <c r="F177" s="3"/>
      <c r="G177" s="122" t="s">
        <v>603</v>
      </c>
      <c r="H177" s="3"/>
      <c r="I177" s="3"/>
      <c r="J177" s="3"/>
    </row>
    <row r="178" spans="1:10" ht="8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4.25">
      <c r="A179" s="3"/>
      <c r="B179" s="3"/>
      <c r="C179" s="3"/>
      <c r="D179" s="3"/>
      <c r="E179" s="129">
        <f>HLOOKUP($J$9,'记账凭证汇总'!$D$1:$BC$175,175)</f>
        <v>0</v>
      </c>
      <c r="F179" s="131">
        <f>HLOOKUP($J$10,'记账凭证汇总'!$D$1:$BC$175,175)</f>
        <v>0</v>
      </c>
      <c r="G179" s="3"/>
      <c r="H179" s="3"/>
      <c r="I179" s="3"/>
      <c r="J179" s="3"/>
    </row>
    <row r="180" spans="1:10" ht="14.25">
      <c r="A180" s="3"/>
      <c r="B180" s="3"/>
      <c r="C180" s="3"/>
      <c r="D180" s="3"/>
      <c r="E180" s="3"/>
      <c r="F180" s="3"/>
      <c r="G180" s="3"/>
      <c r="H180" s="3"/>
      <c r="I180" s="3"/>
      <c r="J180" s="3"/>
    </row>
  </sheetData>
  <sheetProtection/>
  <mergeCells count="2">
    <mergeCell ref="A175:B175"/>
    <mergeCell ref="I26:I27"/>
  </mergeCells>
  <dataValidations count="4">
    <dataValidation type="list" allowBlank="1" showInputMessage="1" showErrorMessage="1" sqref="J7">
      <formula1>"11,14,23,33,43,53,63,73,83,93,103,113,123"</formula1>
    </dataValidation>
    <dataValidation type="list" allowBlank="1" showInputMessage="1" showErrorMessage="1" sqref="J9">
      <formula1>"12,21,31,41,51,61,71,81,91,101,111,121,131"</formula1>
    </dataValidation>
    <dataValidation type="list" allowBlank="1" showInputMessage="1" showErrorMessage="1" sqref="J10">
      <formula1>"13,22,32,42,52,62,72,82,92,102,112,122,132"</formula1>
    </dataValidation>
    <dataValidation type="list" allowBlank="1" showInputMessage="1" showErrorMessage="1" sqref="J11">
      <formula1>"14,23,33,43,53,63,73,83,93,103,113,123,133"</formula1>
    </dataValidation>
  </dataValidations>
  <printOptions horizontalCentered="1"/>
  <pageMargins left="0.15748031496062992" right="0.15748031496062992" top="1.01" bottom="0.7" header="0.11811023622047245" footer="0.5"/>
  <pageSetup blackAndWhite="1" horizontalDpi="180" verticalDpi="180" orientation="portrait" paperSize="9" scale="95" r:id="rId2"/>
  <headerFooter alignWithMargins="0">
    <oddFooter>&amp;C第 &amp;P 页，共 &amp;N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9"/>
  <dimension ref="A1:O82"/>
  <sheetViews>
    <sheetView workbookViewId="0" topLeftCell="A7">
      <pane xSplit="3" ySplit="3" topLeftCell="D10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P21" sqref="P21"/>
    </sheetView>
  </sheetViews>
  <sheetFormatPr defaultColWidth="9.00390625" defaultRowHeight="14.25"/>
  <cols>
    <col min="1" max="1" width="18.25390625" style="0" customWidth="1"/>
    <col min="2" max="2" width="6.875" style="0" customWidth="1"/>
    <col min="3" max="3" width="4.875" style="3" customWidth="1"/>
    <col min="4" max="15" width="14.00390625" style="0" customWidth="1"/>
  </cols>
  <sheetData>
    <row r="1" spans="1:10" ht="14.25">
      <c r="A1" s="3"/>
      <c r="B1" s="135"/>
      <c r="C1" s="83"/>
      <c r="D1" s="83"/>
      <c r="E1" s="83"/>
      <c r="F1" s="83"/>
      <c r="G1" s="3"/>
      <c r="H1" s="3"/>
      <c r="I1" s="3"/>
      <c r="J1" s="3"/>
    </row>
    <row r="2" spans="1:10" ht="14.25">
      <c r="A2" s="3"/>
      <c r="B2" s="133"/>
      <c r="C2" s="83"/>
      <c r="D2" s="83"/>
      <c r="E2" s="83"/>
      <c r="F2" s="83"/>
      <c r="G2" s="3"/>
      <c r="H2" s="3"/>
      <c r="I2" s="3"/>
      <c r="J2" s="3"/>
    </row>
    <row r="3" spans="1:10" ht="4.5" customHeight="1">
      <c r="A3" s="136"/>
      <c r="B3" s="136"/>
      <c r="C3" s="136"/>
      <c r="D3" s="137"/>
      <c r="E3" s="923"/>
      <c r="F3" s="923"/>
      <c r="G3" s="138"/>
      <c r="H3" s="137"/>
      <c r="I3" s="137"/>
      <c r="J3" s="137"/>
    </row>
    <row r="4" spans="1:9" ht="24">
      <c r="A4" s="139" t="s">
        <v>604</v>
      </c>
      <c r="B4" s="136"/>
      <c r="C4" s="136"/>
      <c r="D4" s="137"/>
      <c r="E4" s="3"/>
      <c r="F4" s="140"/>
      <c r="G4" s="140"/>
      <c r="H4" s="137"/>
      <c r="I4" s="141"/>
    </row>
    <row r="5" spans="1:10" ht="20.25">
      <c r="A5" s="924" t="s">
        <v>605</v>
      </c>
      <c r="B5" s="924"/>
      <c r="C5" s="136"/>
      <c r="D5" s="137"/>
      <c r="E5" s="3"/>
      <c r="F5" s="3"/>
      <c r="G5" s="3"/>
      <c r="H5" s="3"/>
      <c r="I5" s="3"/>
      <c r="J5" s="142"/>
    </row>
    <row r="6" spans="1:10" ht="13.5" customHeight="1">
      <c r="A6" s="125"/>
      <c r="B6" s="143" t="s">
        <v>606</v>
      </c>
      <c r="C6" s="137"/>
      <c r="D6" s="137"/>
      <c r="E6" s="144"/>
      <c r="F6" s="145"/>
      <c r="G6" s="140"/>
      <c r="H6" s="137"/>
      <c r="I6" s="141"/>
      <c r="J6" s="142"/>
    </row>
    <row r="7" spans="1:15" s="130" customFormat="1" ht="16.5" customHeight="1" thickBot="1">
      <c r="A7" s="18"/>
      <c r="B7" s="146"/>
      <c r="C7" s="146"/>
      <c r="D7" s="147">
        <v>1</v>
      </c>
      <c r="E7" s="148">
        <v>2</v>
      </c>
      <c r="F7" s="147">
        <v>3</v>
      </c>
      <c r="G7" s="147">
        <v>4</v>
      </c>
      <c r="H7" s="149">
        <v>5</v>
      </c>
      <c r="I7" s="149">
        <v>6</v>
      </c>
      <c r="J7" s="150">
        <v>7</v>
      </c>
      <c r="K7" s="151">
        <v>8</v>
      </c>
      <c r="L7" s="151">
        <v>9</v>
      </c>
      <c r="M7" s="151">
        <v>10</v>
      </c>
      <c r="N7" s="151">
        <v>11</v>
      </c>
      <c r="O7" s="151">
        <v>12</v>
      </c>
    </row>
    <row r="8" spans="1:15" ht="14.25">
      <c r="A8" s="918" t="s">
        <v>607</v>
      </c>
      <c r="B8" s="925" t="s">
        <v>608</v>
      </c>
      <c r="C8" s="420" t="s">
        <v>609</v>
      </c>
      <c r="D8" s="421">
        <v>38718</v>
      </c>
      <c r="E8" s="422">
        <v>38750</v>
      </c>
      <c r="F8" s="422">
        <v>38779</v>
      </c>
      <c r="G8" s="422">
        <v>38811</v>
      </c>
      <c r="H8" s="422">
        <v>38842</v>
      </c>
      <c r="I8" s="422">
        <v>38874</v>
      </c>
      <c r="J8" s="422">
        <v>38905</v>
      </c>
      <c r="K8" s="422">
        <v>38937</v>
      </c>
      <c r="L8" s="422">
        <v>38969</v>
      </c>
      <c r="M8" s="422">
        <v>39000</v>
      </c>
      <c r="N8" s="422">
        <v>39032</v>
      </c>
      <c r="O8" s="423">
        <v>39063</v>
      </c>
    </row>
    <row r="9" spans="1:15" ht="15.75" thickBot="1">
      <c r="A9" s="919"/>
      <c r="B9" s="926"/>
      <c r="C9" s="424" t="s">
        <v>610</v>
      </c>
      <c r="D9" s="425" t="s">
        <v>763</v>
      </c>
      <c r="E9" s="426" t="s">
        <v>764</v>
      </c>
      <c r="F9" s="426" t="s">
        <v>765</v>
      </c>
      <c r="G9" s="426" t="s">
        <v>766</v>
      </c>
      <c r="H9" s="426" t="s">
        <v>767</v>
      </c>
      <c r="I9" s="426" t="s">
        <v>768</v>
      </c>
      <c r="J9" s="426" t="s">
        <v>769</v>
      </c>
      <c r="K9" s="426" t="s">
        <v>770</v>
      </c>
      <c r="L9" s="426" t="s">
        <v>771</v>
      </c>
      <c r="M9" s="426" t="s">
        <v>772</v>
      </c>
      <c r="N9" s="426" t="s">
        <v>773</v>
      </c>
      <c r="O9" s="427" t="s">
        <v>774</v>
      </c>
    </row>
    <row r="10" spans="1:15" ht="15.75" thickTop="1">
      <c r="A10" s="414" t="s">
        <v>787</v>
      </c>
      <c r="B10" s="428"/>
      <c r="C10" s="429"/>
      <c r="D10" s="430"/>
      <c r="E10" s="431"/>
      <c r="F10" s="432"/>
      <c r="G10" s="433"/>
      <c r="H10" s="433"/>
      <c r="I10" s="433"/>
      <c r="J10" s="433"/>
      <c r="K10" s="433"/>
      <c r="L10" s="433"/>
      <c r="M10" s="433"/>
      <c r="N10" s="433"/>
      <c r="O10" s="434"/>
    </row>
    <row r="11" spans="1:15" ht="15">
      <c r="A11" s="416" t="s">
        <v>611</v>
      </c>
      <c r="B11" s="417"/>
      <c r="C11" s="435">
        <v>1</v>
      </c>
      <c r="D11" s="177">
        <f>'记账凭证汇总'!G9+'记账凭证汇总'!G10+'记账凭证汇总'!G11</f>
        <v>8239677.94999999</v>
      </c>
      <c r="E11" s="173">
        <f>'记账凭证汇总'!K9+'记账凭证汇总'!K10+'记账凭证汇总'!K11</f>
        <v>8239677.94999999</v>
      </c>
      <c r="F11" s="173">
        <f>'记账凭证汇总'!O9+'记账凭证汇总'!O10+'记账凭证汇总'!O11</f>
        <v>8239677.94999999</v>
      </c>
      <c r="G11" s="173">
        <f>'记账凭证汇总'!S9+'记账凭证汇总'!S10+'记账凭证汇总'!S11</f>
        <v>8239677.94999999</v>
      </c>
      <c r="H11" s="173">
        <f>'记账凭证汇总'!W9+'记账凭证汇总'!W10+'记账凭证汇总'!W11</f>
        <v>8239677.94999999</v>
      </c>
      <c r="I11" s="173">
        <f>'记账凭证汇总'!AA9+'记账凭证汇总'!AA10+'记账凭证汇总'!AA11</f>
        <v>8239677.94999999</v>
      </c>
      <c r="J11" s="173">
        <f>'记账凭证汇总'!AE9+'记账凭证汇总'!AE10+'记账凭证汇总'!AE11</f>
        <v>8239677.94999999</v>
      </c>
      <c r="K11" s="173">
        <f>'记账凭证汇总'!AI9+'记账凭证汇总'!AI10+'记账凭证汇总'!AI11</f>
        <v>8239677.94999999</v>
      </c>
      <c r="L11" s="173">
        <f>'记账凭证汇总'!AM9+'记账凭证汇总'!AM10+'记账凭证汇总'!AM11</f>
        <v>8239677.94999999</v>
      </c>
      <c r="M11" s="173">
        <f>'记账凭证汇总'!AQ9+'记账凭证汇总'!AQ10+'记账凭证汇总'!AQ11</f>
        <v>8239677.94999999</v>
      </c>
      <c r="N11" s="173">
        <f>'记账凭证汇总'!AU9+'记账凭证汇总'!AU10+'记账凭证汇总'!AU11</f>
        <v>8239677.94999999</v>
      </c>
      <c r="O11" s="174">
        <f>'记账凭证汇总'!AY9+'记账凭证汇总'!AY10+'记账凭证汇总'!AY11</f>
        <v>8239677.94999999</v>
      </c>
    </row>
    <row r="12" spans="1:15" ht="15">
      <c r="A12" s="416" t="s">
        <v>612</v>
      </c>
      <c r="B12" s="417"/>
      <c r="C12" s="435">
        <v>2</v>
      </c>
      <c r="D12" s="177">
        <f>'记账凭证汇总'!G18-'记账凭证汇总'!G23</f>
        <v>0</v>
      </c>
      <c r="E12" s="173">
        <f>'记账凭证汇总'!K18-'记账凭证汇总'!K23</f>
        <v>0</v>
      </c>
      <c r="F12" s="173">
        <f>'记账凭证汇总'!O18-'记账凭证汇总'!O23</f>
        <v>0</v>
      </c>
      <c r="G12" s="173">
        <f>'记账凭证汇总'!S18-'记账凭证汇总'!S23</f>
        <v>0</v>
      </c>
      <c r="H12" s="173">
        <f>'记账凭证汇总'!W18-'记账凭证汇总'!W23</f>
        <v>0</v>
      </c>
      <c r="I12" s="173">
        <f>'记账凭证汇总'!AA18-'记账凭证汇总'!AA23</f>
        <v>0</v>
      </c>
      <c r="J12" s="173">
        <f>'记账凭证汇总'!AE18-'记账凭证汇总'!AE23</f>
        <v>0</v>
      </c>
      <c r="K12" s="173">
        <f>'记账凭证汇总'!AI18-'记账凭证汇总'!AI23</f>
        <v>0</v>
      </c>
      <c r="L12" s="173">
        <f>'记账凭证汇总'!AM18-'记账凭证汇总'!AM23</f>
        <v>0</v>
      </c>
      <c r="M12" s="173">
        <f>'记账凭证汇总'!AQ18-'记账凭证汇总'!AQ23</f>
        <v>0</v>
      </c>
      <c r="N12" s="173">
        <f>'记账凭证汇总'!AU18-'记账凭证汇总'!AU23</f>
        <v>0</v>
      </c>
      <c r="O12" s="174">
        <f>'记账凭证汇总'!AY18-'记账凭证汇总'!AY23</f>
        <v>0</v>
      </c>
    </row>
    <row r="13" spans="1:15" ht="15">
      <c r="A13" s="416" t="s">
        <v>613</v>
      </c>
      <c r="B13" s="417"/>
      <c r="C13" s="435">
        <v>3</v>
      </c>
      <c r="D13" s="177">
        <f>'记账凭证汇总'!G24</f>
        <v>0</v>
      </c>
      <c r="E13" s="173">
        <f>'记账凭证汇总'!K24</f>
        <v>0</v>
      </c>
      <c r="F13" s="173">
        <f>'记账凭证汇总'!O24</f>
        <v>0</v>
      </c>
      <c r="G13" s="173">
        <f>'记账凭证汇总'!S24</f>
        <v>0</v>
      </c>
      <c r="H13" s="173">
        <f>'记账凭证汇总'!W24</f>
        <v>0</v>
      </c>
      <c r="I13" s="173">
        <f>'记账凭证汇总'!AA24</f>
        <v>0</v>
      </c>
      <c r="J13" s="173">
        <f>'记账凭证汇总'!AE24</f>
        <v>0</v>
      </c>
      <c r="K13" s="173">
        <f>'记账凭证汇总'!AI24</f>
        <v>0</v>
      </c>
      <c r="L13" s="173">
        <f>'记账凭证汇总'!AM24</f>
        <v>0</v>
      </c>
      <c r="M13" s="173">
        <f>'记账凭证汇总'!AQ24</f>
        <v>0</v>
      </c>
      <c r="N13" s="173">
        <f>'记账凭证汇总'!AU24</f>
        <v>0</v>
      </c>
      <c r="O13" s="174">
        <f>'记账凭证汇总'!AY24</f>
        <v>0</v>
      </c>
    </row>
    <row r="14" spans="1:15" ht="15">
      <c r="A14" s="416" t="s">
        <v>614</v>
      </c>
      <c r="B14" s="417"/>
      <c r="C14" s="435">
        <v>4</v>
      </c>
      <c r="D14" s="177">
        <f>'记账凭证汇总'!G25</f>
        <v>0</v>
      </c>
      <c r="E14" s="173">
        <f>'记账凭证汇总'!K25</f>
        <v>0</v>
      </c>
      <c r="F14" s="173">
        <f>'记账凭证汇总'!O25</f>
        <v>0</v>
      </c>
      <c r="G14" s="173">
        <f>'记账凭证汇总'!S25</f>
        <v>0</v>
      </c>
      <c r="H14" s="173">
        <f>'记账凭证汇总'!W25</f>
        <v>0</v>
      </c>
      <c r="I14" s="173">
        <f>'记账凭证汇总'!AA25</f>
        <v>0</v>
      </c>
      <c r="J14" s="173">
        <f>'记账凭证汇总'!AE25</f>
        <v>0</v>
      </c>
      <c r="K14" s="173">
        <f>'记账凭证汇总'!AI25</f>
        <v>0</v>
      </c>
      <c r="L14" s="173">
        <f>'记账凭证汇总'!AM25</f>
        <v>0</v>
      </c>
      <c r="M14" s="173">
        <f>'记账凭证汇总'!AQ25</f>
        <v>0</v>
      </c>
      <c r="N14" s="173">
        <f>'记账凭证汇总'!AU25</f>
        <v>0</v>
      </c>
      <c r="O14" s="174">
        <f>'记账凭证汇总'!AY25</f>
        <v>0</v>
      </c>
    </row>
    <row r="15" spans="1:15" ht="15">
      <c r="A15" s="416" t="s">
        <v>615</v>
      </c>
      <c r="B15" s="417"/>
      <c r="C15" s="435">
        <v>6</v>
      </c>
      <c r="D15" s="177">
        <f>'记账凭证汇总'!G26-'记账凭证汇总'!G28</f>
        <v>177377</v>
      </c>
      <c r="E15" s="173">
        <f>'记账凭证汇总'!K26-'记账凭证汇总'!K28</f>
        <v>177377</v>
      </c>
      <c r="F15" s="173">
        <f>'记账凭证汇总'!O26-'记账凭证汇总'!O28</f>
        <v>177377</v>
      </c>
      <c r="G15" s="173">
        <f>'记账凭证汇总'!S26-'记账凭证汇总'!S28</f>
        <v>177377</v>
      </c>
      <c r="H15" s="173">
        <f>'记账凭证汇总'!W26-'记账凭证汇总'!W28</f>
        <v>177377</v>
      </c>
      <c r="I15" s="173">
        <f>'记账凭证汇总'!AA26-'记账凭证汇总'!AA28</f>
        <v>177377</v>
      </c>
      <c r="J15" s="173">
        <f>'记账凭证汇总'!AE26-'记账凭证汇总'!AE28</f>
        <v>177377</v>
      </c>
      <c r="K15" s="173">
        <f>'记账凭证汇总'!AI26-'记账凭证汇总'!AI28</f>
        <v>177377</v>
      </c>
      <c r="L15" s="173">
        <f>'记账凭证汇总'!AM26-'记账凭证汇总'!AM28</f>
        <v>177377</v>
      </c>
      <c r="M15" s="173">
        <f>'记账凭证汇总'!AQ26-'记账凭证汇总'!AQ28</f>
        <v>177377</v>
      </c>
      <c r="N15" s="173">
        <f>'记账凭证汇总'!AU26-'记账凭证汇总'!AU28</f>
        <v>177377</v>
      </c>
      <c r="O15" s="174">
        <f>'记账凭证汇总'!AY26-'记账凭证汇总'!AY28</f>
        <v>177377</v>
      </c>
    </row>
    <row r="16" spans="1:15" ht="15">
      <c r="A16" s="416" t="s">
        <v>616</v>
      </c>
      <c r="B16" s="417"/>
      <c r="C16" s="435">
        <v>7</v>
      </c>
      <c r="D16" s="177">
        <f>'记账凭证汇总'!G27</f>
        <v>6028070.72</v>
      </c>
      <c r="E16" s="173">
        <f>'记账凭证汇总'!K27</f>
        <v>6028070.72</v>
      </c>
      <c r="F16" s="173">
        <f>'记账凭证汇总'!O27</f>
        <v>6028070.72</v>
      </c>
      <c r="G16" s="173">
        <f>'记账凭证汇总'!S27</f>
        <v>6028070.72</v>
      </c>
      <c r="H16" s="173">
        <f>'记账凭证汇总'!W27</f>
        <v>6028070.72</v>
      </c>
      <c r="I16" s="173">
        <f>'记账凭证汇总'!AA27</f>
        <v>6028070.72</v>
      </c>
      <c r="J16" s="173">
        <f>'记账凭证汇总'!AE27</f>
        <v>6028070.72</v>
      </c>
      <c r="K16" s="173">
        <f>'记账凭证汇总'!AI27</f>
        <v>6028070.72</v>
      </c>
      <c r="L16" s="173">
        <f>'记账凭证汇总'!AM27</f>
        <v>6028070.72</v>
      </c>
      <c r="M16" s="173">
        <f>'记账凭证汇总'!AQ27</f>
        <v>6028070.72</v>
      </c>
      <c r="N16" s="173">
        <f>'记账凭证汇总'!AU27</f>
        <v>6028070.72</v>
      </c>
      <c r="O16" s="174">
        <f>'记账凭证汇总'!AY27</f>
        <v>6028070.72</v>
      </c>
    </row>
    <row r="17" spans="1:15" ht="15">
      <c r="A17" s="416" t="s">
        <v>617</v>
      </c>
      <c r="B17" s="417"/>
      <c r="C17" s="435">
        <v>10</v>
      </c>
      <c r="D17" s="555">
        <f>'记账凭证汇总'!G29+'记账凭证汇总'!G30+'记账凭证汇总'!G31+'记账凭证汇总'!G32+'记账凭证汇总'!G33+'记账凭证汇总'!G34+'记账凭证汇总'!G35-'记账凭证汇总'!G36+'记账凭证汇总'!G100+'记账凭证汇总'!G108</f>
        <v>1041167.21</v>
      </c>
      <c r="E17" s="177">
        <f>'记账凭证汇总'!K29+'记账凭证汇总'!K30+'记账凭证汇总'!K31+'记账凭证汇总'!K32+'记账凭证汇总'!K33+'记账凭证汇总'!K34+'记账凭证汇总'!K35-'记账凭证汇总'!K36+'记账凭证汇总'!K100+'记账凭证汇总'!K108</f>
        <v>1041167.21</v>
      </c>
      <c r="F17" s="173">
        <f>'记账凭证汇总'!O29+'记账凭证汇总'!O30+'记账凭证汇总'!O31+'记账凭证汇总'!O32+'记账凭证汇总'!O33+'记账凭证汇总'!O34+'记账凭证汇总'!O35-'记账凭证汇总'!O36+'记账凭证汇总'!O100+'记账凭证汇总'!O108</f>
        <v>1041167.21</v>
      </c>
      <c r="G17" s="173">
        <f>'记账凭证汇总'!S29+'记账凭证汇总'!S30+'记账凭证汇总'!S31+'记账凭证汇总'!S32+'记账凭证汇总'!S33+'记账凭证汇总'!S34+'记账凭证汇总'!S35-'记账凭证汇总'!S36+'记账凭证汇总'!S100+'记账凭证汇总'!S108</f>
        <v>1041167.21</v>
      </c>
      <c r="H17" s="173">
        <f>'记账凭证汇总'!W29+'记账凭证汇总'!W30+'记账凭证汇总'!W31+'记账凭证汇总'!W32+'记账凭证汇总'!W33+'记账凭证汇总'!W34+'记账凭证汇总'!W35-'记账凭证汇总'!W36+'记账凭证汇总'!W100+'记账凭证汇总'!W108</f>
        <v>1041167.21</v>
      </c>
      <c r="I17" s="173">
        <f>'记账凭证汇总'!AA29+'记账凭证汇总'!AA30+'记账凭证汇总'!AA31+'记账凭证汇总'!AA32+'记账凭证汇总'!AA33+'记账凭证汇总'!AA34+'记账凭证汇总'!AA35-'记账凭证汇总'!AA36+'记账凭证汇总'!AA100+'记账凭证汇总'!AA108</f>
        <v>1041167.21</v>
      </c>
      <c r="J17" s="173">
        <f>'记账凭证汇总'!AE29+'记账凭证汇总'!AE30+'记账凭证汇总'!AE31+'记账凭证汇总'!AE32+'记账凭证汇总'!AE33+'记账凭证汇总'!AE34+'记账凭证汇总'!AE35-'记账凭证汇总'!AE36+'记账凭证汇总'!AE100+'记账凭证汇总'!AE108</f>
        <v>1041167.21</v>
      </c>
      <c r="K17" s="173">
        <f>'记账凭证汇总'!AI29+'记账凭证汇总'!AI30+'记账凭证汇总'!AI31+'记账凭证汇总'!AI32+'记账凭证汇总'!AI33+'记账凭证汇总'!AI34+'记账凭证汇总'!AI35-'记账凭证汇总'!AI36+'记账凭证汇总'!AI100+'记账凭证汇总'!AI108</f>
        <v>1041167.21</v>
      </c>
      <c r="L17" s="173">
        <f>'记账凭证汇总'!AM29+'记账凭证汇总'!AM30+'记账凭证汇总'!AM31+'记账凭证汇总'!AM32+'记账凭证汇总'!AM33+'记账凭证汇总'!AM34+'记账凭证汇总'!AM35-'记账凭证汇总'!AM36+'记账凭证汇总'!AM100+'记账凭证汇总'!AM108</f>
        <v>1041167.21</v>
      </c>
      <c r="M17" s="173">
        <f>'记账凭证汇总'!AQ29+'记账凭证汇总'!AQ30+'记账凭证汇总'!AQ31+'记账凭证汇总'!AQ32+'记账凭证汇总'!AQ33+'记账凭证汇总'!AQ34+'记账凭证汇总'!AQ35-'记账凭证汇总'!AQ36+'记账凭证汇总'!AQ100+'记账凭证汇总'!AQ108</f>
        <v>1041167.21</v>
      </c>
      <c r="N17" s="173">
        <f>'记账凭证汇总'!AU29+'记账凭证汇总'!AU30+'记账凭证汇总'!AU31+'记账凭证汇总'!AU32+'记账凭证汇总'!AU33+'记账凭证汇总'!AU34+'记账凭证汇总'!AU35-'记账凭证汇总'!AU36+'记账凭证汇总'!AU100+'记账凭证汇总'!AU108</f>
        <v>1041167.21</v>
      </c>
      <c r="O17" s="174">
        <f>'记账凭证汇总'!AY29+'记账凭证汇总'!AY30+'记账凭证汇总'!AY31+'记账凭证汇总'!AY32+'记账凭证汇总'!AY33+'记账凭证汇总'!AY34+'记账凭证汇总'!AY35-'记账凭证汇总'!AY36+'记账凭证汇总'!AY100+'记账凭证汇总'!AY108</f>
        <v>1041167.21</v>
      </c>
    </row>
    <row r="18" spans="1:15" ht="15">
      <c r="A18" s="416" t="s">
        <v>622</v>
      </c>
      <c r="B18" s="417"/>
      <c r="C18" s="435">
        <v>11</v>
      </c>
      <c r="D18" s="177">
        <f>'记账凭证汇总'!G37</f>
        <v>1128931.17</v>
      </c>
      <c r="E18" s="173">
        <f>'记账凭证汇总'!K37</f>
        <v>1128931.17</v>
      </c>
      <c r="F18" s="173">
        <f>'记账凭证汇总'!O37</f>
        <v>1128931.17</v>
      </c>
      <c r="G18" s="173">
        <f>'记账凭证汇总'!S37</f>
        <v>1128931.17</v>
      </c>
      <c r="H18" s="173">
        <f>'记账凭证汇总'!W37</f>
        <v>1128931.17</v>
      </c>
      <c r="I18" s="173">
        <f>'记账凭证汇总'!AA37</f>
        <v>1128931.17</v>
      </c>
      <c r="J18" s="173">
        <f>'记账凭证汇总'!AE37</f>
        <v>1128931.17</v>
      </c>
      <c r="K18" s="173">
        <f>'记账凭证汇总'!AI37</f>
        <v>1128931.17</v>
      </c>
      <c r="L18" s="173">
        <f>'记账凭证汇总'!AM37</f>
        <v>1128931.17</v>
      </c>
      <c r="M18" s="173">
        <f>'记账凭证汇总'!AQ37</f>
        <v>1128931.17</v>
      </c>
      <c r="N18" s="173">
        <f>'记账凭证汇总'!AU37</f>
        <v>1128931.17</v>
      </c>
      <c r="O18" s="174">
        <f>'记账凭证汇总'!AY37</f>
        <v>1128931.17</v>
      </c>
    </row>
    <row r="19" spans="1:15" ht="15">
      <c r="A19" s="416" t="s">
        <v>623</v>
      </c>
      <c r="B19" s="417"/>
      <c r="C19" s="435">
        <v>21</v>
      </c>
      <c r="D19" s="177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</row>
    <row r="20" spans="1:15" ht="15">
      <c r="A20" s="416" t="s">
        <v>624</v>
      </c>
      <c r="B20" s="417"/>
      <c r="C20" s="435">
        <v>24</v>
      </c>
      <c r="D20" s="177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4"/>
    </row>
    <row r="21" spans="1:15" ht="14.25">
      <c r="A21" s="312" t="s">
        <v>625</v>
      </c>
      <c r="B21" s="436"/>
      <c r="C21" s="435">
        <v>31</v>
      </c>
      <c r="D21" s="154">
        <f aca="true" t="shared" si="0" ref="D21:O21">SUM(D11:D20)</f>
        <v>16615224.049999991</v>
      </c>
      <c r="E21" s="155">
        <f t="shared" si="0"/>
        <v>16615224.049999991</v>
      </c>
      <c r="F21" s="155">
        <f t="shared" si="0"/>
        <v>16615224.049999991</v>
      </c>
      <c r="G21" s="155">
        <f t="shared" si="0"/>
        <v>16615224.049999991</v>
      </c>
      <c r="H21" s="155">
        <f t="shared" si="0"/>
        <v>16615224.049999991</v>
      </c>
      <c r="I21" s="155">
        <f t="shared" si="0"/>
        <v>16615224.049999991</v>
      </c>
      <c r="J21" s="155">
        <f t="shared" si="0"/>
        <v>16615224.049999991</v>
      </c>
      <c r="K21" s="155">
        <f t="shared" si="0"/>
        <v>16615224.049999991</v>
      </c>
      <c r="L21" s="155">
        <f t="shared" si="0"/>
        <v>16615224.049999991</v>
      </c>
      <c r="M21" s="155">
        <f t="shared" si="0"/>
        <v>16615224.049999991</v>
      </c>
      <c r="N21" s="155">
        <f t="shared" si="0"/>
        <v>16615224.049999991</v>
      </c>
      <c r="O21" s="156">
        <f t="shared" si="0"/>
        <v>16615224.049999991</v>
      </c>
    </row>
    <row r="22" spans="1:15" ht="15">
      <c r="A22" s="419" t="s">
        <v>626</v>
      </c>
      <c r="B22" s="218"/>
      <c r="C22" s="435"/>
      <c r="D22" s="177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</row>
    <row r="23" spans="1:15" ht="15">
      <c r="A23" s="416" t="s">
        <v>627</v>
      </c>
      <c r="B23" s="417"/>
      <c r="C23" s="435">
        <v>32</v>
      </c>
      <c r="D23" s="177">
        <f>'记账凭证汇总'!G38</f>
        <v>0</v>
      </c>
      <c r="E23" s="173">
        <f>'记账凭证汇总'!K38</f>
        <v>0</v>
      </c>
      <c r="F23" s="173">
        <f>'记账凭证汇总'!O38</f>
        <v>0</v>
      </c>
      <c r="G23" s="173">
        <f>'记账凭证汇总'!S38</f>
        <v>0</v>
      </c>
      <c r="H23" s="173">
        <f>'记账凭证汇总'!W38</f>
        <v>0</v>
      </c>
      <c r="I23" s="173">
        <f>'记账凭证汇总'!AA38</f>
        <v>0</v>
      </c>
      <c r="J23" s="173">
        <f>'记账凭证汇总'!AE38</f>
        <v>0</v>
      </c>
      <c r="K23" s="173">
        <f>'记账凭证汇总'!AI38</f>
        <v>0</v>
      </c>
      <c r="L23" s="173">
        <f>'记账凭证汇总'!AM38</f>
        <v>0</v>
      </c>
      <c r="M23" s="173">
        <f>'记账凭证汇总'!AQ38</f>
        <v>0</v>
      </c>
      <c r="N23" s="173">
        <f>'记账凭证汇总'!AU38</f>
        <v>0</v>
      </c>
      <c r="O23" s="174">
        <f>'记账凭证汇总'!AY38</f>
        <v>0</v>
      </c>
    </row>
    <row r="24" spans="1:15" ht="15">
      <c r="A24" s="419" t="s">
        <v>628</v>
      </c>
      <c r="B24" s="218"/>
      <c r="C24" s="435">
        <v>34</v>
      </c>
      <c r="D24" s="177">
        <f>'记账凭证汇总'!G41</f>
        <v>0</v>
      </c>
      <c r="E24" s="173">
        <f>'记账凭证汇总'!K41</f>
        <v>0</v>
      </c>
      <c r="F24" s="173">
        <f>'记账凭证汇总'!O41</f>
        <v>0</v>
      </c>
      <c r="G24" s="173">
        <f>'记账凭证汇总'!S41</f>
        <v>0</v>
      </c>
      <c r="H24" s="173">
        <f>'记账凭证汇总'!W41</f>
        <v>0</v>
      </c>
      <c r="I24" s="173">
        <f>'记账凭证汇总'!AA41</f>
        <v>0</v>
      </c>
      <c r="J24" s="173">
        <f>'记账凭证汇总'!AE41</f>
        <v>0</v>
      </c>
      <c r="K24" s="173">
        <f>'记账凭证汇总'!AI41</f>
        <v>0</v>
      </c>
      <c r="L24" s="173">
        <f>'记账凭证汇总'!AM41</f>
        <v>0</v>
      </c>
      <c r="M24" s="173">
        <f>'记账凭证汇总'!AQ41</f>
        <v>0</v>
      </c>
      <c r="N24" s="173">
        <f>'记账凭证汇总'!AU41</f>
        <v>0</v>
      </c>
      <c r="O24" s="174">
        <f>'记账凭证汇总'!AY41</f>
        <v>0</v>
      </c>
    </row>
    <row r="25" spans="1:15" ht="14.25">
      <c r="A25" s="312" t="s">
        <v>629</v>
      </c>
      <c r="B25" s="436"/>
      <c r="C25" s="435">
        <v>38</v>
      </c>
      <c r="D25" s="154">
        <f aca="true" t="shared" si="1" ref="D25:O25">SUM(D23:D24)</f>
        <v>0</v>
      </c>
      <c r="E25" s="155">
        <f t="shared" si="1"/>
        <v>0</v>
      </c>
      <c r="F25" s="155">
        <f t="shared" si="1"/>
        <v>0</v>
      </c>
      <c r="G25" s="155">
        <f t="shared" si="1"/>
        <v>0</v>
      </c>
      <c r="H25" s="155">
        <f t="shared" si="1"/>
        <v>0</v>
      </c>
      <c r="I25" s="155">
        <f t="shared" si="1"/>
        <v>0</v>
      </c>
      <c r="J25" s="155">
        <f t="shared" si="1"/>
        <v>0</v>
      </c>
      <c r="K25" s="155">
        <f t="shared" si="1"/>
        <v>0</v>
      </c>
      <c r="L25" s="155">
        <f t="shared" si="1"/>
        <v>0</v>
      </c>
      <c r="M25" s="155">
        <f t="shared" si="1"/>
        <v>0</v>
      </c>
      <c r="N25" s="155">
        <f t="shared" si="1"/>
        <v>0</v>
      </c>
      <c r="O25" s="156">
        <f t="shared" si="1"/>
        <v>0</v>
      </c>
    </row>
    <row r="26" spans="1:15" ht="15">
      <c r="A26" s="419" t="s">
        <v>630</v>
      </c>
      <c r="B26" s="218"/>
      <c r="C26" s="435"/>
      <c r="D26" s="177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4"/>
    </row>
    <row r="27" spans="1:15" ht="15">
      <c r="A27" s="416" t="s">
        <v>631</v>
      </c>
      <c r="B27" s="417"/>
      <c r="C27" s="435">
        <v>39</v>
      </c>
      <c r="D27" s="177">
        <f>'记账凭证汇总'!G44</f>
        <v>28596722.229999997</v>
      </c>
      <c r="E27" s="173">
        <f>'记账凭证汇总'!K44</f>
        <v>28596722.229999997</v>
      </c>
      <c r="F27" s="173">
        <f>'记账凭证汇总'!O44</f>
        <v>28596722.229999997</v>
      </c>
      <c r="G27" s="173">
        <f>'记账凭证汇总'!S44</f>
        <v>28596722.229999997</v>
      </c>
      <c r="H27" s="173">
        <f>'记账凭证汇总'!W44</f>
        <v>28596722.229999997</v>
      </c>
      <c r="I27" s="173">
        <f>'记账凭证汇总'!AA44</f>
        <v>28596722.229999997</v>
      </c>
      <c r="J27" s="173">
        <f>'记账凭证汇总'!AE44</f>
        <v>28596722.229999997</v>
      </c>
      <c r="K27" s="173">
        <f>'记账凭证汇总'!AI44</f>
        <v>28596722.229999997</v>
      </c>
      <c r="L27" s="173">
        <f>'记账凭证汇总'!AM44</f>
        <v>28596722.229999997</v>
      </c>
      <c r="M27" s="173">
        <f>'记账凭证汇总'!AQ44</f>
        <v>28596722.229999997</v>
      </c>
      <c r="N27" s="173">
        <f>'记账凭证汇总'!AU44</f>
        <v>28596722.229999997</v>
      </c>
      <c r="O27" s="174">
        <f>'记账凭证汇总'!AY44</f>
        <v>28596722.229999997</v>
      </c>
    </row>
    <row r="28" spans="1:15" ht="15">
      <c r="A28" s="419" t="s">
        <v>632</v>
      </c>
      <c r="B28" s="218"/>
      <c r="C28" s="435">
        <v>40</v>
      </c>
      <c r="D28" s="177">
        <f>'记账凭证汇总'!G45</f>
        <v>1970538.41</v>
      </c>
      <c r="E28" s="173">
        <f>'记账凭证汇总'!K45</f>
        <v>1970538.41</v>
      </c>
      <c r="F28" s="173">
        <f>'记账凭证汇总'!O45</f>
        <v>1970538.41</v>
      </c>
      <c r="G28" s="173">
        <f>'记账凭证汇总'!S45</f>
        <v>1970538.41</v>
      </c>
      <c r="H28" s="173">
        <f>'记账凭证汇总'!W45</f>
        <v>1970538.41</v>
      </c>
      <c r="I28" s="173">
        <f>'记账凭证汇总'!AA45</f>
        <v>1970538.41</v>
      </c>
      <c r="J28" s="173">
        <f>'记账凭证汇总'!AE45</f>
        <v>1970538.41</v>
      </c>
      <c r="K28" s="173">
        <f>'记账凭证汇总'!AI45</f>
        <v>1970538.41</v>
      </c>
      <c r="L28" s="173">
        <f>'记账凭证汇总'!AM45</f>
        <v>1970538.41</v>
      </c>
      <c r="M28" s="173">
        <f>'记账凭证汇总'!AQ45</f>
        <v>1970538.41</v>
      </c>
      <c r="N28" s="173">
        <f>'记账凭证汇总'!AU45</f>
        <v>1970538.41</v>
      </c>
      <c r="O28" s="174">
        <f>'记账凭证汇总'!AY45</f>
        <v>1970538.41</v>
      </c>
    </row>
    <row r="29" spans="1:15" ht="15">
      <c r="A29" s="416" t="s">
        <v>633</v>
      </c>
      <c r="B29" s="417"/>
      <c r="C29" s="435">
        <v>40</v>
      </c>
      <c r="D29" s="154">
        <f aca="true" t="shared" si="2" ref="D29:O29">D27-D28</f>
        <v>26626183.819999997</v>
      </c>
      <c r="E29" s="155">
        <f t="shared" si="2"/>
        <v>26626183.819999997</v>
      </c>
      <c r="F29" s="155">
        <f t="shared" si="2"/>
        <v>26626183.819999997</v>
      </c>
      <c r="G29" s="155">
        <f t="shared" si="2"/>
        <v>26626183.819999997</v>
      </c>
      <c r="H29" s="155">
        <f t="shared" si="2"/>
        <v>26626183.819999997</v>
      </c>
      <c r="I29" s="155">
        <f t="shared" si="2"/>
        <v>26626183.819999997</v>
      </c>
      <c r="J29" s="155">
        <f t="shared" si="2"/>
        <v>26626183.819999997</v>
      </c>
      <c r="K29" s="155">
        <f t="shared" si="2"/>
        <v>26626183.819999997</v>
      </c>
      <c r="L29" s="155">
        <f t="shared" si="2"/>
        <v>26626183.819999997</v>
      </c>
      <c r="M29" s="155">
        <f t="shared" si="2"/>
        <v>26626183.819999997</v>
      </c>
      <c r="N29" s="155">
        <f t="shared" si="2"/>
        <v>26626183.819999997</v>
      </c>
      <c r="O29" s="156">
        <f t="shared" si="2"/>
        <v>26626183.819999997</v>
      </c>
    </row>
    <row r="30" spans="1:15" ht="15">
      <c r="A30" s="416" t="s">
        <v>634</v>
      </c>
      <c r="B30" s="417"/>
      <c r="C30" s="435">
        <v>44</v>
      </c>
      <c r="D30" s="177">
        <f>'记账凭证汇总'!G46</f>
        <v>0</v>
      </c>
      <c r="E30" s="173">
        <f>'记账凭证汇总'!K46</f>
        <v>0</v>
      </c>
      <c r="F30" s="173">
        <f>'记账凭证汇总'!O46</f>
        <v>0</v>
      </c>
      <c r="G30" s="173">
        <f>'记账凭证汇总'!S46</f>
        <v>0</v>
      </c>
      <c r="H30" s="173">
        <f>'记账凭证汇总'!W46</f>
        <v>0</v>
      </c>
      <c r="I30" s="173">
        <f>'记账凭证汇总'!AA46</f>
        <v>0</v>
      </c>
      <c r="J30" s="173">
        <f>'记账凭证汇总'!AE46</f>
        <v>0</v>
      </c>
      <c r="K30" s="173">
        <f>'记账凭证汇总'!AI46</f>
        <v>0</v>
      </c>
      <c r="L30" s="173">
        <f>'记账凭证汇总'!AM46</f>
        <v>0</v>
      </c>
      <c r="M30" s="173">
        <f>'记账凭证汇总'!AQ46</f>
        <v>0</v>
      </c>
      <c r="N30" s="173">
        <f>'记账凭证汇总'!AU46</f>
        <v>0</v>
      </c>
      <c r="O30" s="174">
        <f>'记账凭证汇总'!AY46</f>
        <v>0</v>
      </c>
    </row>
    <row r="31" spans="1:15" ht="15">
      <c r="A31" s="416" t="s">
        <v>635</v>
      </c>
      <c r="B31" s="417"/>
      <c r="C31" s="435">
        <v>45</v>
      </c>
      <c r="D31" s="177">
        <f>'记账凭证汇总'!G47</f>
        <v>300</v>
      </c>
      <c r="E31" s="173">
        <f>'记账凭证汇总'!K47</f>
        <v>300</v>
      </c>
      <c r="F31" s="173">
        <f>'记账凭证汇总'!O47</f>
        <v>300</v>
      </c>
      <c r="G31" s="173">
        <f>'记账凭证汇总'!S47</f>
        <v>300</v>
      </c>
      <c r="H31" s="173">
        <f>'记账凭证汇总'!W47</f>
        <v>300</v>
      </c>
      <c r="I31" s="173">
        <f>'记账凭证汇总'!AA47</f>
        <v>300</v>
      </c>
      <c r="J31" s="173">
        <f>'记账凭证汇总'!AE47</f>
        <v>300</v>
      </c>
      <c r="K31" s="173">
        <f>'记账凭证汇总'!AI47</f>
        <v>300</v>
      </c>
      <c r="L31" s="173">
        <f>'记账凭证汇总'!AM47</f>
        <v>300</v>
      </c>
      <c r="M31" s="173">
        <f>'记账凭证汇总'!AQ47</f>
        <v>300</v>
      </c>
      <c r="N31" s="173">
        <f>'记账凭证汇总'!AU47</f>
        <v>300</v>
      </c>
      <c r="O31" s="174">
        <f>'记账凭证汇总'!AY47</f>
        <v>300</v>
      </c>
    </row>
    <row r="32" spans="1:15" ht="15">
      <c r="A32" s="416" t="s">
        <v>636</v>
      </c>
      <c r="B32" s="417"/>
      <c r="C32" s="435">
        <v>46</v>
      </c>
      <c r="D32" s="177">
        <f>'记账凭证汇总'!G52</f>
        <v>0</v>
      </c>
      <c r="E32" s="173">
        <f>'记账凭证汇总'!K52</f>
        <v>0</v>
      </c>
      <c r="F32" s="173">
        <f>'记账凭证汇总'!O52</f>
        <v>0</v>
      </c>
      <c r="G32" s="173">
        <f>'记账凭证汇总'!S52</f>
        <v>0</v>
      </c>
      <c r="H32" s="173">
        <f>'记账凭证汇总'!W52</f>
        <v>0</v>
      </c>
      <c r="I32" s="173">
        <f>'记账凭证汇总'!AA52</f>
        <v>0</v>
      </c>
      <c r="J32" s="173">
        <f>'记账凭证汇总'!AE52</f>
        <v>0</v>
      </c>
      <c r="K32" s="173">
        <f>'记账凭证汇总'!AI52</f>
        <v>0</v>
      </c>
      <c r="L32" s="173">
        <f>'记账凭证汇总'!AM52</f>
        <v>0</v>
      </c>
      <c r="M32" s="173">
        <f>'记账凭证汇总'!AQ52</f>
        <v>0</v>
      </c>
      <c r="N32" s="173">
        <f>'记账凭证汇总'!AU52</f>
        <v>0</v>
      </c>
      <c r="O32" s="174">
        <f>'记账凭证汇总'!AY52</f>
        <v>0</v>
      </c>
    </row>
    <row r="33" spans="1:15" ht="14.25">
      <c r="A33" s="312" t="s">
        <v>637</v>
      </c>
      <c r="B33" s="436"/>
      <c r="C33" s="435">
        <v>50</v>
      </c>
      <c r="D33" s="154">
        <f aca="true" t="shared" si="3" ref="D33:O33">D29+D30+D31+D32</f>
        <v>26626483.819999997</v>
      </c>
      <c r="E33" s="155">
        <f t="shared" si="3"/>
        <v>26626483.819999997</v>
      </c>
      <c r="F33" s="155">
        <f t="shared" si="3"/>
        <v>26626483.819999997</v>
      </c>
      <c r="G33" s="155">
        <f t="shared" si="3"/>
        <v>26626483.819999997</v>
      </c>
      <c r="H33" s="155">
        <f t="shared" si="3"/>
        <v>26626483.819999997</v>
      </c>
      <c r="I33" s="155">
        <f t="shared" si="3"/>
        <v>26626483.819999997</v>
      </c>
      <c r="J33" s="155">
        <f t="shared" si="3"/>
        <v>26626483.819999997</v>
      </c>
      <c r="K33" s="155">
        <f t="shared" si="3"/>
        <v>26626483.819999997</v>
      </c>
      <c r="L33" s="155">
        <f t="shared" si="3"/>
        <v>26626483.819999997</v>
      </c>
      <c r="M33" s="155">
        <f t="shared" si="3"/>
        <v>26626483.819999997</v>
      </c>
      <c r="N33" s="155">
        <f t="shared" si="3"/>
        <v>26626483.819999997</v>
      </c>
      <c r="O33" s="156">
        <f t="shared" si="3"/>
        <v>26626483.819999997</v>
      </c>
    </row>
    <row r="34" spans="1:15" ht="15">
      <c r="A34" s="419" t="s">
        <v>638</v>
      </c>
      <c r="B34" s="218"/>
      <c r="C34" s="435"/>
      <c r="D34" s="177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4"/>
    </row>
    <row r="35" spans="1:15" ht="15">
      <c r="A35" s="416" t="s">
        <v>639</v>
      </c>
      <c r="B35" s="417"/>
      <c r="C35" s="435">
        <v>51</v>
      </c>
      <c r="D35" s="177">
        <f>'记账凭证汇总'!G53</f>
        <v>0</v>
      </c>
      <c r="E35" s="173">
        <f>'记账凭证汇总'!K53</f>
        <v>0</v>
      </c>
      <c r="F35" s="173">
        <f>'记账凭证汇总'!O53</f>
        <v>0</v>
      </c>
      <c r="G35" s="173">
        <f>'记账凭证汇总'!S53</f>
        <v>0</v>
      </c>
      <c r="H35" s="173">
        <f>'记账凭证汇总'!W53</f>
        <v>0</v>
      </c>
      <c r="I35" s="173">
        <f>'记账凭证汇总'!AA53</f>
        <v>0</v>
      </c>
      <c r="J35" s="173">
        <f>'记账凭证汇总'!AE53</f>
        <v>0</v>
      </c>
      <c r="K35" s="173">
        <f>'记账凭证汇总'!AI53</f>
        <v>0</v>
      </c>
      <c r="L35" s="173">
        <f>'记账凭证汇总'!AM53</f>
        <v>0</v>
      </c>
      <c r="M35" s="173">
        <f>'记账凭证汇总'!AQ53</f>
        <v>0</v>
      </c>
      <c r="N35" s="173">
        <f>'记账凭证汇总'!AU53</f>
        <v>0</v>
      </c>
      <c r="O35" s="174">
        <f>'记账凭证汇总'!AY53</f>
        <v>0</v>
      </c>
    </row>
    <row r="36" spans="1:15" ht="15">
      <c r="A36" s="419" t="s">
        <v>640</v>
      </c>
      <c r="B36" s="218"/>
      <c r="C36" s="435">
        <v>52</v>
      </c>
      <c r="D36" s="177">
        <f>'记账凭证汇总'!G54</f>
        <v>0</v>
      </c>
      <c r="E36" s="173">
        <f>'记账凭证汇总'!K54</f>
        <v>0</v>
      </c>
      <c r="F36" s="173">
        <f>'记账凭证汇总'!O54</f>
        <v>0</v>
      </c>
      <c r="G36" s="173">
        <f>'记账凭证汇总'!S54</f>
        <v>0</v>
      </c>
      <c r="H36" s="173">
        <f>'记账凭证汇总'!W54</f>
        <v>0</v>
      </c>
      <c r="I36" s="173">
        <f>'记账凭证汇总'!AA54</f>
        <v>0</v>
      </c>
      <c r="J36" s="173">
        <f>'记账凭证汇总'!AE54</f>
        <v>0</v>
      </c>
      <c r="K36" s="173">
        <f>'记账凭证汇总'!AI54</f>
        <v>0</v>
      </c>
      <c r="L36" s="173">
        <f>'记账凭证汇总'!AM54</f>
        <v>0</v>
      </c>
      <c r="M36" s="173">
        <f>'记账凭证汇总'!AQ54</f>
        <v>0</v>
      </c>
      <c r="N36" s="173">
        <f>'记账凭证汇总'!AU54</f>
        <v>0</v>
      </c>
      <c r="O36" s="174">
        <f>'记账凭证汇总'!AY54</f>
        <v>0</v>
      </c>
    </row>
    <row r="37" spans="1:15" ht="15">
      <c r="A37" s="416" t="s">
        <v>641</v>
      </c>
      <c r="B37" s="417"/>
      <c r="C37" s="435">
        <v>53</v>
      </c>
      <c r="D37" s="177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4"/>
    </row>
    <row r="38" spans="1:15" ht="15">
      <c r="A38" s="419" t="s">
        <v>642</v>
      </c>
      <c r="B38" s="218"/>
      <c r="C38" s="435">
        <v>60</v>
      </c>
      <c r="D38" s="437">
        <f aca="true" t="shared" si="4" ref="D38:O38">D35+D36+D37</f>
        <v>0</v>
      </c>
      <c r="E38" s="438">
        <f t="shared" si="4"/>
        <v>0</v>
      </c>
      <c r="F38" s="438">
        <f t="shared" si="4"/>
        <v>0</v>
      </c>
      <c r="G38" s="438">
        <f t="shared" si="4"/>
        <v>0</v>
      </c>
      <c r="H38" s="438">
        <f t="shared" si="4"/>
        <v>0</v>
      </c>
      <c r="I38" s="438">
        <f t="shared" si="4"/>
        <v>0</v>
      </c>
      <c r="J38" s="438">
        <f t="shared" si="4"/>
        <v>0</v>
      </c>
      <c r="K38" s="438">
        <f t="shared" si="4"/>
        <v>0</v>
      </c>
      <c r="L38" s="438">
        <f t="shared" si="4"/>
        <v>0</v>
      </c>
      <c r="M38" s="438">
        <f t="shared" si="4"/>
        <v>0</v>
      </c>
      <c r="N38" s="438">
        <f t="shared" si="4"/>
        <v>0</v>
      </c>
      <c r="O38" s="439">
        <f t="shared" si="4"/>
        <v>0</v>
      </c>
    </row>
    <row r="39" spans="1:15" ht="15" thickBot="1">
      <c r="A39" s="921" t="s">
        <v>643</v>
      </c>
      <c r="B39" s="922"/>
      <c r="C39" s="440">
        <v>61</v>
      </c>
      <c r="D39" s="441">
        <f aca="true" t="shared" si="5" ref="D39:O39">D21+D25+D33+D38</f>
        <v>43241707.86999999</v>
      </c>
      <c r="E39" s="442">
        <f t="shared" si="5"/>
        <v>43241707.86999999</v>
      </c>
      <c r="F39" s="442">
        <f t="shared" si="5"/>
        <v>43241707.86999999</v>
      </c>
      <c r="G39" s="442">
        <f t="shared" si="5"/>
        <v>43241707.86999999</v>
      </c>
      <c r="H39" s="442">
        <f t="shared" si="5"/>
        <v>43241707.86999999</v>
      </c>
      <c r="I39" s="442">
        <f t="shared" si="5"/>
        <v>43241707.86999999</v>
      </c>
      <c r="J39" s="442">
        <f t="shared" si="5"/>
        <v>43241707.86999999</v>
      </c>
      <c r="K39" s="442">
        <f t="shared" si="5"/>
        <v>43241707.86999999</v>
      </c>
      <c r="L39" s="442">
        <f t="shared" si="5"/>
        <v>43241707.86999999</v>
      </c>
      <c r="M39" s="442">
        <f t="shared" si="5"/>
        <v>43241707.86999999</v>
      </c>
      <c r="N39" s="442">
        <f t="shared" si="5"/>
        <v>43241707.86999999</v>
      </c>
      <c r="O39" s="443">
        <f t="shared" si="5"/>
        <v>43241707.86999999</v>
      </c>
    </row>
    <row r="40" spans="1:15" ht="15" thickBot="1">
      <c r="A40" s="3"/>
      <c r="B40" s="3"/>
      <c r="D40" s="3"/>
      <c r="E40" s="444"/>
      <c r="F40" s="3"/>
      <c r="G40" s="3"/>
      <c r="H40" s="3"/>
      <c r="I40" s="3"/>
      <c r="J40" s="445"/>
      <c r="K40" s="3"/>
      <c r="L40" s="3"/>
      <c r="M40" s="3"/>
      <c r="N40" s="3"/>
      <c r="O40" s="3"/>
    </row>
    <row r="41" spans="1:15" ht="14.25">
      <c r="A41" s="918" t="s">
        <v>644</v>
      </c>
      <c r="B41" s="920" t="s">
        <v>645</v>
      </c>
      <c r="C41" s="420" t="s">
        <v>609</v>
      </c>
      <c r="D41" s="446" t="s">
        <v>646</v>
      </c>
      <c r="E41" s="447" t="s">
        <v>647</v>
      </c>
      <c r="F41" s="447" t="s">
        <v>648</v>
      </c>
      <c r="G41" s="447" t="s">
        <v>649</v>
      </c>
      <c r="H41" s="447" t="s">
        <v>650</v>
      </c>
      <c r="I41" s="447" t="s">
        <v>651</v>
      </c>
      <c r="J41" s="447" t="s">
        <v>652</v>
      </c>
      <c r="K41" s="447" t="s">
        <v>653</v>
      </c>
      <c r="L41" s="447" t="s">
        <v>654</v>
      </c>
      <c r="M41" s="447" t="s">
        <v>655</v>
      </c>
      <c r="N41" s="447" t="s">
        <v>656</v>
      </c>
      <c r="O41" s="448" t="s">
        <v>657</v>
      </c>
    </row>
    <row r="42" spans="1:15" ht="15.75" thickBot="1">
      <c r="A42" s="919"/>
      <c r="B42" s="906"/>
      <c r="C42" s="424" t="s">
        <v>610</v>
      </c>
      <c r="D42" s="449" t="s">
        <v>763</v>
      </c>
      <c r="E42" s="450" t="s">
        <v>775</v>
      </c>
      <c r="F42" s="450" t="s">
        <v>765</v>
      </c>
      <c r="G42" s="450" t="s">
        <v>766</v>
      </c>
      <c r="H42" s="450" t="s">
        <v>767</v>
      </c>
      <c r="I42" s="450" t="s">
        <v>768</v>
      </c>
      <c r="J42" s="450" t="s">
        <v>769</v>
      </c>
      <c r="K42" s="450" t="s">
        <v>770</v>
      </c>
      <c r="L42" s="450" t="s">
        <v>771</v>
      </c>
      <c r="M42" s="450" t="s">
        <v>772</v>
      </c>
      <c r="N42" s="450" t="s">
        <v>773</v>
      </c>
      <c r="O42" s="451" t="s">
        <v>774</v>
      </c>
    </row>
    <row r="43" spans="1:15" ht="15.75" thickTop="1">
      <c r="A43" s="452" t="s">
        <v>788</v>
      </c>
      <c r="B43" s="161"/>
      <c r="C43" s="429"/>
      <c r="D43" s="172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4"/>
    </row>
    <row r="44" spans="1:15" ht="15">
      <c r="A44" s="416" t="s">
        <v>658</v>
      </c>
      <c r="B44" s="161"/>
      <c r="C44" s="435">
        <v>68</v>
      </c>
      <c r="D44" s="172">
        <f>'记账凭证汇总'!G55</f>
        <v>21033772</v>
      </c>
      <c r="E44" s="173">
        <f>'记账凭证汇总'!K55</f>
        <v>21033772</v>
      </c>
      <c r="F44" s="173">
        <f>'记账凭证汇总'!O55</f>
        <v>21033772</v>
      </c>
      <c r="G44" s="173">
        <f>'记账凭证汇总'!S55</f>
        <v>21033772</v>
      </c>
      <c r="H44" s="173">
        <f>'记账凭证汇总'!W55</f>
        <v>21033772</v>
      </c>
      <c r="I44" s="173">
        <f>'记账凭证汇总'!AA55</f>
        <v>21033772</v>
      </c>
      <c r="J44" s="173">
        <f>'记账凭证汇总'!AE55</f>
        <v>21033772</v>
      </c>
      <c r="K44" s="173">
        <f>'记账凭证汇总'!AI55</f>
        <v>21033772</v>
      </c>
      <c r="L44" s="173">
        <f>'记账凭证汇总'!AM55</f>
        <v>21033772</v>
      </c>
      <c r="M44" s="173">
        <f>'记账凭证汇总'!AQ55</f>
        <v>21033772</v>
      </c>
      <c r="N44" s="173">
        <f>'记账凭证汇总'!AU55</f>
        <v>21033772</v>
      </c>
      <c r="O44" s="174">
        <f>'记账凭证汇总'!AY55</f>
        <v>21033772</v>
      </c>
    </row>
    <row r="45" spans="1:15" ht="15">
      <c r="A45" s="416" t="s">
        <v>659</v>
      </c>
      <c r="B45" s="161"/>
      <c r="C45" s="435">
        <v>69</v>
      </c>
      <c r="D45" s="172">
        <f>'记账凭证汇总'!G56</f>
        <v>4300000</v>
      </c>
      <c r="E45" s="173">
        <f>'记账凭证汇总'!K56</f>
        <v>4300000</v>
      </c>
      <c r="F45" s="173">
        <f>'记账凭证汇总'!O56</f>
        <v>4300000</v>
      </c>
      <c r="G45" s="173">
        <f>'记账凭证汇总'!S56</f>
        <v>4300000</v>
      </c>
      <c r="H45" s="173">
        <f>'记账凭证汇总'!W56</f>
        <v>4300000</v>
      </c>
      <c r="I45" s="173">
        <f>'记账凭证汇总'!AA56</f>
        <v>4300000</v>
      </c>
      <c r="J45" s="173">
        <f>'记账凭证汇总'!AE56</f>
        <v>4300000</v>
      </c>
      <c r="K45" s="173">
        <f>'记账凭证汇总'!AI56</f>
        <v>4300000</v>
      </c>
      <c r="L45" s="173">
        <f>'记账凭证汇总'!AM56</f>
        <v>4300000</v>
      </c>
      <c r="M45" s="173">
        <f>'记账凭证汇总'!AQ56</f>
        <v>4300000</v>
      </c>
      <c r="N45" s="173">
        <f>'记账凭证汇总'!AU56</f>
        <v>4300000</v>
      </c>
      <c r="O45" s="174">
        <f>'记账凭证汇总'!AY56</f>
        <v>4300000</v>
      </c>
    </row>
    <row r="46" spans="1:15" ht="15">
      <c r="A46" s="416" t="s">
        <v>660</v>
      </c>
      <c r="B46" s="161"/>
      <c r="C46" s="435">
        <v>70</v>
      </c>
      <c r="D46" s="172">
        <f>'记账凭证汇总'!G57</f>
        <v>0</v>
      </c>
      <c r="E46" s="173">
        <f>'记账凭证汇总'!K57</f>
        <v>0</v>
      </c>
      <c r="F46" s="173">
        <f>'记账凭证汇总'!O57</f>
        <v>0</v>
      </c>
      <c r="G46" s="173">
        <f>'记账凭证汇总'!S57</f>
        <v>0</v>
      </c>
      <c r="H46" s="173">
        <f>'记账凭证汇总'!W57</f>
        <v>0</v>
      </c>
      <c r="I46" s="173">
        <f>'记账凭证汇总'!AA57</f>
        <v>0</v>
      </c>
      <c r="J46" s="173">
        <f>'记账凭证汇总'!AE57</f>
        <v>0</v>
      </c>
      <c r="K46" s="173">
        <f>'记账凭证汇总'!AI57</f>
        <v>0</v>
      </c>
      <c r="L46" s="173">
        <f>'记账凭证汇总'!AM57</f>
        <v>0</v>
      </c>
      <c r="M46" s="173">
        <f>'记账凭证汇总'!AQ57</f>
        <v>0</v>
      </c>
      <c r="N46" s="173">
        <f>'记账凭证汇总'!AU57</f>
        <v>0</v>
      </c>
      <c r="O46" s="174">
        <f>'记账凭证汇总'!AY57</f>
        <v>0</v>
      </c>
    </row>
    <row r="47" spans="1:15" ht="15">
      <c r="A47" s="419" t="s">
        <v>661</v>
      </c>
      <c r="B47" s="161"/>
      <c r="C47" s="435">
        <v>72</v>
      </c>
      <c r="D47" s="172">
        <f>'记账凭证汇总'!G58</f>
        <v>92915.58</v>
      </c>
      <c r="E47" s="173">
        <f>'记账凭证汇总'!K58</f>
        <v>92915.58</v>
      </c>
      <c r="F47" s="173">
        <f>'记账凭证汇总'!O58</f>
        <v>92915.58</v>
      </c>
      <c r="G47" s="173">
        <f>'记账凭证汇总'!S58</f>
        <v>92915.58</v>
      </c>
      <c r="H47" s="173">
        <f>'记账凭证汇总'!W58</f>
        <v>92915.58</v>
      </c>
      <c r="I47" s="173">
        <f>'记账凭证汇总'!AA58</f>
        <v>92915.58</v>
      </c>
      <c r="J47" s="173">
        <f>'记账凭证汇总'!AE58</f>
        <v>92915.58</v>
      </c>
      <c r="K47" s="173">
        <f>'记账凭证汇总'!AI58</f>
        <v>92915.58</v>
      </c>
      <c r="L47" s="173">
        <f>'记账凭证汇总'!AM58</f>
        <v>92915.58</v>
      </c>
      <c r="M47" s="173">
        <f>'记账凭证汇总'!AQ58</f>
        <v>92915.58</v>
      </c>
      <c r="N47" s="173">
        <f>'记账凭证汇总'!AU58</f>
        <v>92915.58</v>
      </c>
      <c r="O47" s="174">
        <f>'记账凭证汇总'!AY58</f>
        <v>92915.58</v>
      </c>
    </row>
    <row r="48" spans="1:15" ht="15">
      <c r="A48" s="419" t="s">
        <v>662</v>
      </c>
      <c r="B48" s="175"/>
      <c r="C48" s="435">
        <v>73</v>
      </c>
      <c r="D48" s="172">
        <f>'记账凭证汇总'!G59</f>
        <v>0</v>
      </c>
      <c r="E48" s="173">
        <f>'记账凭证汇总'!K59</f>
        <v>0</v>
      </c>
      <c r="F48" s="173">
        <f>'记账凭证汇总'!O59</f>
        <v>0</v>
      </c>
      <c r="G48" s="173">
        <f>'记账凭证汇总'!S59</f>
        <v>0</v>
      </c>
      <c r="H48" s="173">
        <f>'记账凭证汇总'!W59</f>
        <v>0</v>
      </c>
      <c r="I48" s="173">
        <f>'记账凭证汇总'!AA59</f>
        <v>0</v>
      </c>
      <c r="J48" s="173">
        <f>'记账凭证汇总'!AE59</f>
        <v>0</v>
      </c>
      <c r="K48" s="173">
        <f>'记账凭证汇总'!AI59</f>
        <v>0</v>
      </c>
      <c r="L48" s="173">
        <f>'记账凭证汇总'!AM59</f>
        <v>0</v>
      </c>
      <c r="M48" s="173">
        <f>'记账凭证汇总'!AQ59</f>
        <v>0</v>
      </c>
      <c r="N48" s="173">
        <f>'记账凭证汇总'!AU59</f>
        <v>0</v>
      </c>
      <c r="O48" s="174">
        <f>'记账凭证汇总'!AY59</f>
        <v>0</v>
      </c>
    </row>
    <row r="49" spans="1:15" ht="15">
      <c r="A49" s="419" t="s">
        <v>663</v>
      </c>
      <c r="B49" s="161"/>
      <c r="C49" s="435">
        <v>74</v>
      </c>
      <c r="D49" s="172">
        <f>'记账凭证汇总'!G60</f>
        <v>0</v>
      </c>
      <c r="E49" s="173">
        <f>'记账凭证汇总'!K60</f>
        <v>0</v>
      </c>
      <c r="F49" s="173">
        <f>'记账凭证汇总'!O60</f>
        <v>0</v>
      </c>
      <c r="G49" s="173">
        <f>'记账凭证汇总'!S60</f>
        <v>0</v>
      </c>
      <c r="H49" s="173">
        <f>'记账凭证汇总'!W60</f>
        <v>0</v>
      </c>
      <c r="I49" s="173">
        <f>'记账凭证汇总'!AA60</f>
        <v>0</v>
      </c>
      <c r="J49" s="173">
        <f>'记账凭证汇总'!AE60</f>
        <v>0</v>
      </c>
      <c r="K49" s="173">
        <f>'记账凭证汇总'!AI60</f>
        <v>0</v>
      </c>
      <c r="L49" s="173">
        <f>'记账凭证汇总'!AM60</f>
        <v>0</v>
      </c>
      <c r="M49" s="173">
        <f>'记账凭证汇总'!AQ60</f>
        <v>0</v>
      </c>
      <c r="N49" s="173">
        <f>'记账凭证汇总'!AU60</f>
        <v>0</v>
      </c>
      <c r="O49" s="174">
        <f>'记账凭证汇总'!AY60</f>
        <v>0</v>
      </c>
    </row>
    <row r="50" spans="1:15" ht="15">
      <c r="A50" s="419" t="s">
        <v>664</v>
      </c>
      <c r="B50" s="161"/>
      <c r="C50" s="435">
        <v>76</v>
      </c>
      <c r="D50" s="172">
        <f>'记账凭证汇总'!G61</f>
        <v>470</v>
      </c>
      <c r="E50" s="173">
        <f>'记账凭证汇总'!K61</f>
        <v>470</v>
      </c>
      <c r="F50" s="173">
        <f>'记账凭证汇总'!O61</f>
        <v>470</v>
      </c>
      <c r="G50" s="173">
        <f>'记账凭证汇总'!S61</f>
        <v>470</v>
      </c>
      <c r="H50" s="173">
        <f>'记账凭证汇总'!W61</f>
        <v>470</v>
      </c>
      <c r="I50" s="173">
        <f>'记账凭证汇总'!AA61</f>
        <v>470</v>
      </c>
      <c r="J50" s="173">
        <f>'记账凭证汇总'!AE61</f>
        <v>470</v>
      </c>
      <c r="K50" s="173">
        <f>'记账凭证汇总'!AI61</f>
        <v>470</v>
      </c>
      <c r="L50" s="173">
        <f>'记账凭证汇总'!AM61</f>
        <v>470</v>
      </c>
      <c r="M50" s="173">
        <f>'记账凭证汇总'!AQ61</f>
        <v>470</v>
      </c>
      <c r="N50" s="173">
        <f>'记账凭证汇总'!AU61</f>
        <v>470</v>
      </c>
      <c r="O50" s="174">
        <f>'记账凭证汇总'!AY61</f>
        <v>470</v>
      </c>
    </row>
    <row r="51" spans="1:15" ht="14.25">
      <c r="A51" s="419" t="s">
        <v>665</v>
      </c>
      <c r="B51" s="456"/>
      <c r="C51" s="435">
        <v>80</v>
      </c>
      <c r="D51" s="172">
        <f>'记账凭证汇总'!G73</f>
        <v>0</v>
      </c>
      <c r="E51" s="173">
        <f>'记账凭证汇总'!K73</f>
        <v>0</v>
      </c>
      <c r="F51" s="173">
        <f>'记账凭证汇总'!O73</f>
        <v>0</v>
      </c>
      <c r="G51" s="173">
        <f>'记账凭证汇总'!S73</f>
        <v>0</v>
      </c>
      <c r="H51" s="173">
        <f>'记账凭证汇总'!W73</f>
        <v>0</v>
      </c>
      <c r="I51" s="173">
        <f>'记账凭证汇总'!AA73</f>
        <v>0</v>
      </c>
      <c r="J51" s="173">
        <f>'记账凭证汇总'!AE73</f>
        <v>0</v>
      </c>
      <c r="K51" s="173">
        <f>'记账凭证汇总'!AI73</f>
        <v>0</v>
      </c>
      <c r="L51" s="173">
        <f>'记账凭证汇总'!AM73</f>
        <v>0</v>
      </c>
      <c r="M51" s="173">
        <f>'记账凭证汇总'!AQ73</f>
        <v>0</v>
      </c>
      <c r="N51" s="173">
        <f>'记账凭证汇总'!AU73</f>
        <v>0</v>
      </c>
      <c r="O51" s="174">
        <f>'记账凭证汇总'!AY73</f>
        <v>0</v>
      </c>
    </row>
    <row r="52" spans="1:15" ht="15">
      <c r="A52" s="419" t="s">
        <v>666</v>
      </c>
      <c r="B52" s="161"/>
      <c r="C52" s="435">
        <v>81</v>
      </c>
      <c r="D52" s="172">
        <f>'记账凭证汇总'!G74</f>
        <v>5990309.940000005</v>
      </c>
      <c r="E52" s="173">
        <f>'记账凭证汇总'!K74</f>
        <v>5990309.940000005</v>
      </c>
      <c r="F52" s="173">
        <f>'记账凭证汇总'!O74</f>
        <v>5990309.940000005</v>
      </c>
      <c r="G52" s="173">
        <f>'记账凭证汇总'!S74</f>
        <v>5990309.940000005</v>
      </c>
      <c r="H52" s="173">
        <f>'记账凭证汇总'!W74</f>
        <v>5990309.940000005</v>
      </c>
      <c r="I52" s="173">
        <f>'记账凭证汇总'!AA74</f>
        <v>5990309.940000005</v>
      </c>
      <c r="J52" s="173">
        <f>'记账凭证汇总'!AE74</f>
        <v>5990309.940000005</v>
      </c>
      <c r="K52" s="173">
        <f>'记账凭证汇总'!AI74</f>
        <v>5990309.940000005</v>
      </c>
      <c r="L52" s="173">
        <f>'记账凭证汇总'!AM74</f>
        <v>5990309.940000005</v>
      </c>
      <c r="M52" s="173">
        <f>'记账凭证汇总'!AQ74</f>
        <v>5990309.940000005</v>
      </c>
      <c r="N52" s="173">
        <f>'记账凭证汇总'!AU74</f>
        <v>5990309.940000005</v>
      </c>
      <c r="O52" s="174">
        <f>'记账凭证汇总'!AY74</f>
        <v>5990309.940000005</v>
      </c>
    </row>
    <row r="53" spans="1:15" ht="15">
      <c r="A53" s="419" t="s">
        <v>667</v>
      </c>
      <c r="B53" s="161"/>
      <c r="C53" s="435">
        <v>82</v>
      </c>
      <c r="D53" s="172">
        <f>'记账凭证汇总'!G75</f>
        <v>0</v>
      </c>
      <c r="E53" s="173">
        <f>'记账凭证汇总'!K75</f>
        <v>0</v>
      </c>
      <c r="F53" s="173">
        <f>'记账凭证汇总'!O75</f>
        <v>0</v>
      </c>
      <c r="G53" s="173">
        <f>'记账凭证汇总'!S75</f>
        <v>0</v>
      </c>
      <c r="H53" s="173">
        <f>'记账凭证汇总'!W75</f>
        <v>0</v>
      </c>
      <c r="I53" s="173">
        <f>'记账凭证汇总'!AA75</f>
        <v>0</v>
      </c>
      <c r="J53" s="173">
        <f>'记账凭证汇总'!AE75</f>
        <v>0</v>
      </c>
      <c r="K53" s="173">
        <f>'记账凭证汇总'!AI75</f>
        <v>0</v>
      </c>
      <c r="L53" s="173">
        <f>'记账凭证汇总'!AM75</f>
        <v>0</v>
      </c>
      <c r="M53" s="173">
        <f>'记账凭证汇总'!AQ75</f>
        <v>0</v>
      </c>
      <c r="N53" s="173">
        <f>'记账凭证汇总'!AU75</f>
        <v>0</v>
      </c>
      <c r="O53" s="174">
        <f>'记账凭证汇总'!AY75</f>
        <v>0</v>
      </c>
    </row>
    <row r="54" spans="1:15" ht="15">
      <c r="A54" s="419" t="s">
        <v>668</v>
      </c>
      <c r="B54" s="175"/>
      <c r="C54" s="435">
        <v>86</v>
      </c>
      <c r="D54" s="172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180"/>
    </row>
    <row r="55" spans="1:15" ht="15">
      <c r="A55" s="419" t="s">
        <v>669</v>
      </c>
      <c r="B55" s="161"/>
      <c r="C55" s="435">
        <v>90</v>
      </c>
      <c r="D55" s="172">
        <f>'记账凭证汇总'!G76</f>
        <v>0</v>
      </c>
      <c r="E55" s="173">
        <f>'记账凭证汇总'!K76</f>
        <v>0</v>
      </c>
      <c r="F55" s="173">
        <f>'记账凭证汇总'!O76</f>
        <v>0</v>
      </c>
      <c r="G55" s="173">
        <f>'记账凭证汇总'!S76</f>
        <v>0</v>
      </c>
      <c r="H55" s="173">
        <f>'记账凭证汇总'!W76</f>
        <v>0</v>
      </c>
      <c r="I55" s="173">
        <f>'记账凭证汇总'!AA76</f>
        <v>0</v>
      </c>
      <c r="J55" s="173">
        <f>'记账凭证汇总'!AE76</f>
        <v>0</v>
      </c>
      <c r="K55" s="173">
        <f>'记账凭证汇总'!AI76</f>
        <v>0</v>
      </c>
      <c r="L55" s="173">
        <f>'记账凭证汇总'!AM76</f>
        <v>0</v>
      </c>
      <c r="M55" s="173">
        <f>'记账凭证汇总'!AQ76</f>
        <v>0</v>
      </c>
      <c r="N55" s="173">
        <f>'记账凭证汇总'!AU76</f>
        <v>0</v>
      </c>
      <c r="O55" s="174">
        <f>'记账凭证汇总'!AY76</f>
        <v>0</v>
      </c>
    </row>
    <row r="56" spans="1:15" ht="15">
      <c r="A56" s="312" t="s">
        <v>670</v>
      </c>
      <c r="B56" s="161"/>
      <c r="C56" s="435">
        <v>100</v>
      </c>
      <c r="D56" s="457">
        <f aca="true" t="shared" si="6" ref="D56:O56">SUM(D44:D55)</f>
        <v>31417467.520000003</v>
      </c>
      <c r="E56" s="458">
        <f t="shared" si="6"/>
        <v>31417467.520000003</v>
      </c>
      <c r="F56" s="458">
        <f t="shared" si="6"/>
        <v>31417467.520000003</v>
      </c>
      <c r="G56" s="458">
        <f t="shared" si="6"/>
        <v>31417467.520000003</v>
      </c>
      <c r="H56" s="458">
        <f t="shared" si="6"/>
        <v>31417467.520000003</v>
      </c>
      <c r="I56" s="458">
        <f t="shared" si="6"/>
        <v>31417467.520000003</v>
      </c>
      <c r="J56" s="458">
        <f t="shared" si="6"/>
        <v>31417467.520000003</v>
      </c>
      <c r="K56" s="458">
        <f t="shared" si="6"/>
        <v>31417467.520000003</v>
      </c>
      <c r="L56" s="458">
        <f t="shared" si="6"/>
        <v>31417467.520000003</v>
      </c>
      <c r="M56" s="458">
        <f t="shared" si="6"/>
        <v>31417467.520000003</v>
      </c>
      <c r="N56" s="458">
        <f t="shared" si="6"/>
        <v>31417467.520000003</v>
      </c>
      <c r="O56" s="179">
        <f t="shared" si="6"/>
        <v>31417467.520000003</v>
      </c>
    </row>
    <row r="57" spans="1:15" ht="15">
      <c r="A57" s="419" t="s">
        <v>671</v>
      </c>
      <c r="B57" s="165"/>
      <c r="C57" s="435"/>
      <c r="D57" s="16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8"/>
    </row>
    <row r="58" spans="1:15" ht="15">
      <c r="A58" s="419" t="s">
        <v>672</v>
      </c>
      <c r="B58" s="161"/>
      <c r="C58" s="435">
        <v>101</v>
      </c>
      <c r="D58" s="166">
        <f>'记账凭证汇总'!G79</f>
        <v>0</v>
      </c>
      <c r="E58" s="167">
        <f>'记账凭证汇总'!K79</f>
        <v>0</v>
      </c>
      <c r="F58" s="167">
        <f>'记账凭证汇总'!O79</f>
        <v>0</v>
      </c>
      <c r="G58" s="167">
        <f>'记账凭证汇总'!S79</f>
        <v>0</v>
      </c>
      <c r="H58" s="167">
        <f>'记账凭证汇总'!W79</f>
        <v>0</v>
      </c>
      <c r="I58" s="167">
        <f>'记账凭证汇总'!AA79</f>
        <v>0</v>
      </c>
      <c r="J58" s="167">
        <f>'记账凭证汇总'!AE79</f>
        <v>0</v>
      </c>
      <c r="K58" s="167">
        <f>'记账凭证汇总'!AI79</f>
        <v>0</v>
      </c>
      <c r="L58" s="167">
        <f>'记账凭证汇总'!AM79</f>
        <v>0</v>
      </c>
      <c r="M58" s="167">
        <f>'记账凭证汇总'!AQ79</f>
        <v>0</v>
      </c>
      <c r="N58" s="167">
        <f>'记账凭证汇总'!AU79</f>
        <v>0</v>
      </c>
      <c r="O58" s="168">
        <f>'记账凭证汇总'!AY79</f>
        <v>0</v>
      </c>
    </row>
    <row r="59" spans="1:15" ht="15">
      <c r="A59" s="419" t="s">
        <v>673</v>
      </c>
      <c r="B59" s="175"/>
      <c r="C59" s="435">
        <v>103</v>
      </c>
      <c r="D59" s="166">
        <f>'记账凭证汇总'!G80</f>
        <v>0</v>
      </c>
      <c r="E59" s="167">
        <f>'记账凭证汇总'!K80</f>
        <v>0</v>
      </c>
      <c r="F59" s="167">
        <f>'记账凭证汇总'!O80</f>
        <v>0</v>
      </c>
      <c r="G59" s="167">
        <f>'记账凭证汇总'!S80</f>
        <v>0</v>
      </c>
      <c r="H59" s="167">
        <f>'记账凭证汇总'!W80</f>
        <v>0</v>
      </c>
      <c r="I59" s="167">
        <f>'记账凭证汇总'!AA80</f>
        <v>0</v>
      </c>
      <c r="J59" s="167">
        <f>'记账凭证汇总'!AE80</f>
        <v>0</v>
      </c>
      <c r="K59" s="167">
        <f>'记账凭证汇总'!AI80</f>
        <v>0</v>
      </c>
      <c r="L59" s="167">
        <f>'记账凭证汇总'!AM80</f>
        <v>0</v>
      </c>
      <c r="M59" s="167">
        <f>'记账凭证汇总'!AQ80</f>
        <v>0</v>
      </c>
      <c r="N59" s="167">
        <f>'记账凭证汇总'!AU80</f>
        <v>0</v>
      </c>
      <c r="O59" s="168">
        <f>'记账凭证汇总'!AY80</f>
        <v>0</v>
      </c>
    </row>
    <row r="60" spans="1:15" ht="15">
      <c r="A60" s="419" t="s">
        <v>674</v>
      </c>
      <c r="B60" s="175"/>
      <c r="C60" s="435">
        <v>106</v>
      </c>
      <c r="D60" s="166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4"/>
    </row>
    <row r="61" spans="1:15" ht="15">
      <c r="A61" s="419"/>
      <c r="B61" s="175"/>
      <c r="C61" s="435">
        <v>108</v>
      </c>
      <c r="D61" s="166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1"/>
    </row>
    <row r="62" spans="1:15" ht="15">
      <c r="A62" s="312" t="s">
        <v>675</v>
      </c>
      <c r="B62" s="161"/>
      <c r="C62" s="435">
        <v>110</v>
      </c>
      <c r="D62" s="178">
        <f aca="true" t="shared" si="7" ref="D62:O62">SUM(D58:D61)</f>
        <v>0</v>
      </c>
      <c r="E62" s="155">
        <f t="shared" si="7"/>
        <v>0</v>
      </c>
      <c r="F62" s="155">
        <f t="shared" si="7"/>
        <v>0</v>
      </c>
      <c r="G62" s="155">
        <f t="shared" si="7"/>
        <v>0</v>
      </c>
      <c r="H62" s="155">
        <f t="shared" si="7"/>
        <v>0</v>
      </c>
      <c r="I62" s="155">
        <f t="shared" si="7"/>
        <v>0</v>
      </c>
      <c r="J62" s="155">
        <f t="shared" si="7"/>
        <v>0</v>
      </c>
      <c r="K62" s="155">
        <f t="shared" si="7"/>
        <v>0</v>
      </c>
      <c r="L62" s="155">
        <f t="shared" si="7"/>
        <v>0</v>
      </c>
      <c r="M62" s="155">
        <f t="shared" si="7"/>
        <v>0</v>
      </c>
      <c r="N62" s="155">
        <f t="shared" si="7"/>
        <v>0</v>
      </c>
      <c r="O62" s="156">
        <f t="shared" si="7"/>
        <v>0</v>
      </c>
    </row>
    <row r="63" spans="1:15" ht="15">
      <c r="A63" s="419"/>
      <c r="B63" s="161"/>
      <c r="C63" s="435"/>
      <c r="D63" s="17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4"/>
    </row>
    <row r="64" spans="1:15" ht="15">
      <c r="A64" s="312" t="s">
        <v>676</v>
      </c>
      <c r="B64" s="165"/>
      <c r="C64" s="435">
        <v>114</v>
      </c>
      <c r="D64" s="178">
        <f aca="true" t="shared" si="8" ref="D64:O64">D56+D62</f>
        <v>31417467.520000003</v>
      </c>
      <c r="E64" s="155">
        <f t="shared" si="8"/>
        <v>31417467.520000003</v>
      </c>
      <c r="F64" s="155">
        <f t="shared" si="8"/>
        <v>31417467.520000003</v>
      </c>
      <c r="G64" s="155">
        <f t="shared" si="8"/>
        <v>31417467.520000003</v>
      </c>
      <c r="H64" s="155">
        <f t="shared" si="8"/>
        <v>31417467.520000003</v>
      </c>
      <c r="I64" s="155">
        <f t="shared" si="8"/>
        <v>31417467.520000003</v>
      </c>
      <c r="J64" s="155">
        <f t="shared" si="8"/>
        <v>31417467.520000003</v>
      </c>
      <c r="K64" s="155">
        <f t="shared" si="8"/>
        <v>31417467.520000003</v>
      </c>
      <c r="L64" s="155">
        <f t="shared" si="8"/>
        <v>31417467.520000003</v>
      </c>
      <c r="M64" s="155">
        <f t="shared" si="8"/>
        <v>31417467.520000003</v>
      </c>
      <c r="N64" s="155">
        <f t="shared" si="8"/>
        <v>31417467.520000003</v>
      </c>
      <c r="O64" s="156">
        <f t="shared" si="8"/>
        <v>31417467.520000003</v>
      </c>
    </row>
    <row r="65" spans="1:15" ht="15">
      <c r="A65" s="419" t="s">
        <v>677</v>
      </c>
      <c r="B65" s="161"/>
      <c r="C65" s="435"/>
      <c r="D65" s="17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4"/>
    </row>
    <row r="66" spans="1:15" ht="15">
      <c r="A66" s="419" t="s">
        <v>678</v>
      </c>
      <c r="B66" s="165"/>
      <c r="C66" s="435">
        <v>115</v>
      </c>
      <c r="D66" s="172">
        <f>'记账凭证汇总'!G81</f>
        <v>3000000</v>
      </c>
      <c r="E66" s="173">
        <f>'记账凭证汇总'!K81</f>
        <v>3000000</v>
      </c>
      <c r="F66" s="173">
        <f>'记账凭证汇总'!O81</f>
        <v>3000000</v>
      </c>
      <c r="G66" s="173">
        <f>'记账凭证汇总'!S81</f>
        <v>3000000</v>
      </c>
      <c r="H66" s="173">
        <f>'记账凭证汇总'!W81</f>
        <v>3000000</v>
      </c>
      <c r="I66" s="173">
        <f>'记账凭证汇总'!AA81</f>
        <v>3000000</v>
      </c>
      <c r="J66" s="173">
        <f>'记账凭证汇总'!AE81</f>
        <v>3000000</v>
      </c>
      <c r="K66" s="173">
        <f>'记账凭证汇总'!AI81</f>
        <v>3000000</v>
      </c>
      <c r="L66" s="173">
        <f>'记账凭证汇总'!AM81</f>
        <v>3000000</v>
      </c>
      <c r="M66" s="173">
        <f>'记账凭证汇总'!AQ81</f>
        <v>3000000</v>
      </c>
      <c r="N66" s="173">
        <f>'记账凭证汇总'!AU81</f>
        <v>3000000</v>
      </c>
      <c r="O66" s="174">
        <f>'记账凭证汇总'!AY81</f>
        <v>3000000</v>
      </c>
    </row>
    <row r="67" spans="1:15" ht="15">
      <c r="A67" s="419" t="s">
        <v>679</v>
      </c>
      <c r="B67" s="161"/>
      <c r="C67" s="435">
        <v>120</v>
      </c>
      <c r="D67" s="172">
        <f>'记账凭证汇总'!G82</f>
        <v>0</v>
      </c>
      <c r="E67" s="173">
        <f>'记账凭证汇总'!K82</f>
        <v>0</v>
      </c>
      <c r="F67" s="173">
        <f>'记账凭证汇总'!O82</f>
        <v>0</v>
      </c>
      <c r="G67" s="173">
        <f>'记账凭证汇总'!S82</f>
        <v>0</v>
      </c>
      <c r="H67" s="173">
        <f>'记账凭证汇总'!W82</f>
        <v>0</v>
      </c>
      <c r="I67" s="173">
        <f>'记账凭证汇总'!AA82</f>
        <v>0</v>
      </c>
      <c r="J67" s="173">
        <f>'记账凭证汇总'!AE82</f>
        <v>0</v>
      </c>
      <c r="K67" s="173">
        <f>'记账凭证汇总'!AI82</f>
        <v>0</v>
      </c>
      <c r="L67" s="173">
        <f>'记账凭证汇总'!AM82</f>
        <v>0</v>
      </c>
      <c r="M67" s="173">
        <f>'记账凭证汇总'!AQ82</f>
        <v>0</v>
      </c>
      <c r="N67" s="173">
        <f>'记账凭证汇总'!AU82</f>
        <v>0</v>
      </c>
      <c r="O67" s="174">
        <f>'记账凭证汇总'!AY82</f>
        <v>0</v>
      </c>
    </row>
    <row r="68" spans="1:15" ht="15">
      <c r="A68" s="419" t="s">
        <v>680</v>
      </c>
      <c r="B68" s="161"/>
      <c r="C68" s="435">
        <v>121</v>
      </c>
      <c r="D68" s="172">
        <f>'记账凭证汇总'!G87</f>
        <v>0</v>
      </c>
      <c r="E68" s="173">
        <f>'记账凭证汇总'!K87</f>
        <v>0</v>
      </c>
      <c r="F68" s="173">
        <f>'记账凭证汇总'!O87</f>
        <v>0</v>
      </c>
      <c r="G68" s="173">
        <f>'记账凭证汇总'!S87</f>
        <v>0</v>
      </c>
      <c r="H68" s="173">
        <f>'记账凭证汇总'!W87</f>
        <v>0</v>
      </c>
      <c r="I68" s="173">
        <f>'记账凭证汇总'!AA87</f>
        <v>0</v>
      </c>
      <c r="J68" s="173">
        <f>'记账凭证汇总'!AE87</f>
        <v>0</v>
      </c>
      <c r="K68" s="173">
        <f>'记账凭证汇总'!AI87</f>
        <v>0</v>
      </c>
      <c r="L68" s="173">
        <f>'记账凭证汇总'!AM87</f>
        <v>0</v>
      </c>
      <c r="M68" s="173">
        <f>'记账凭证汇总'!AQ87</f>
        <v>0</v>
      </c>
      <c r="N68" s="173">
        <f>'记账凭证汇总'!AU87</f>
        <v>0</v>
      </c>
      <c r="O68" s="174">
        <f>'记账凭证汇总'!AY87</f>
        <v>0</v>
      </c>
    </row>
    <row r="69" spans="1:15" ht="15">
      <c r="A69" s="419" t="s">
        <v>681</v>
      </c>
      <c r="B69" s="161"/>
      <c r="C69" s="435">
        <v>122</v>
      </c>
      <c r="D69" s="172">
        <f>'记账凭证汇总'!G88</f>
        <v>0</v>
      </c>
      <c r="E69" s="173">
        <f>'记账凭证汇总'!K88</f>
        <v>0</v>
      </c>
      <c r="F69" s="173">
        <f>'记账凭证汇总'!O88</f>
        <v>0</v>
      </c>
      <c r="G69" s="173">
        <f>'记账凭证汇总'!S88</f>
        <v>0</v>
      </c>
      <c r="H69" s="173">
        <f>'记账凭证汇总'!W88</f>
        <v>0</v>
      </c>
      <c r="I69" s="173">
        <f>'记账凭证汇总'!AA88</f>
        <v>0</v>
      </c>
      <c r="J69" s="173">
        <f>'记账凭证汇总'!AE88</f>
        <v>0</v>
      </c>
      <c r="K69" s="173">
        <f>'记账凭证汇总'!AI88</f>
        <v>0</v>
      </c>
      <c r="L69" s="173">
        <f>'记账凭证汇总'!AM88</f>
        <v>0</v>
      </c>
      <c r="M69" s="173">
        <f>'记账凭证汇总'!AQ88</f>
        <v>0</v>
      </c>
      <c r="N69" s="173">
        <f>'记账凭证汇总'!AU88</f>
        <v>0</v>
      </c>
      <c r="O69" s="174">
        <f>'记账凭证汇总'!AY88</f>
        <v>0</v>
      </c>
    </row>
    <row r="70" spans="1:15" ht="15">
      <c r="A70" s="419" t="s">
        <v>682</v>
      </c>
      <c r="B70" s="161"/>
      <c r="C70" s="435">
        <v>123</v>
      </c>
      <c r="D70" s="172">
        <f>'记账凭证汇总'!G92+'记账凭证汇总'!G119+'记账凭证汇总'!G120+'记账凭证汇总'!G121+'记账凭证汇总'!G122-'记账凭证汇总'!G123-'记账凭证汇总'!G124-'记账凭证汇总'!G125-'记账凭证汇总'!G126-'记账凭证汇总'!G137-'记账凭证汇总'!G168-'记账凭证汇总'!G172</f>
        <v>8824240.35</v>
      </c>
      <c r="E70" s="173">
        <f>'记账凭证汇总'!K92+'记账凭证汇总'!K119+'记账凭证汇总'!K120+'记账凭证汇总'!K121+'记账凭证汇总'!K122-'记账凭证汇总'!K123-'记账凭证汇总'!K124-'记账凭证汇总'!K125-'记账凭证汇总'!K126-'记账凭证汇总'!K137-'记账凭证汇总'!K168-'记账凭证汇总'!K172</f>
        <v>8824240.35</v>
      </c>
      <c r="F70" s="173">
        <f>'记账凭证汇总'!O92+'记账凭证汇总'!O119+'记账凭证汇总'!O120+'记账凭证汇总'!O121+'记账凭证汇总'!O122-'记账凭证汇总'!O123-'记账凭证汇总'!O124-'记账凭证汇总'!O125-'记账凭证汇总'!O126-'记账凭证汇总'!O137-'记账凭证汇总'!O168-'记账凭证汇总'!O172</f>
        <v>8824240.35</v>
      </c>
      <c r="G70" s="173">
        <f>'记账凭证汇总'!S92+'记账凭证汇总'!S119+'记账凭证汇总'!S120+'记账凭证汇总'!S121+'记账凭证汇总'!S122-'记账凭证汇总'!S123-'记账凭证汇总'!S124-'记账凭证汇总'!S125-'记账凭证汇总'!S126-'记账凭证汇总'!S137-'记账凭证汇总'!S168-'记账凭证汇总'!S172</f>
        <v>8824240.35</v>
      </c>
      <c r="H70" s="173">
        <f>'记账凭证汇总'!W92+'记账凭证汇总'!W119+'记账凭证汇总'!W120+'记账凭证汇总'!W121+'记账凭证汇总'!W122-'记账凭证汇总'!W123-'记账凭证汇总'!W124-'记账凭证汇总'!W125-'记账凭证汇总'!W126-'记账凭证汇总'!W137-'记账凭证汇总'!W168-'记账凭证汇总'!W172</f>
        <v>8824240.35</v>
      </c>
      <c r="I70" s="173">
        <f>'记账凭证汇总'!AA92+'记账凭证汇总'!AA119+'记账凭证汇总'!AA120+'记账凭证汇总'!AA121+'记账凭证汇总'!AA122-'记账凭证汇总'!AA123-'记账凭证汇总'!AA124-'记账凭证汇总'!AA125-'记账凭证汇总'!AA126-'记账凭证汇总'!AA137-'记账凭证汇总'!AA168-'记账凭证汇总'!AA172</f>
        <v>8824240.35</v>
      </c>
      <c r="J70" s="173">
        <f>'记账凭证汇总'!AE92+'记账凭证汇总'!AE119+'记账凭证汇总'!AE120+'记账凭证汇总'!AE121+'记账凭证汇总'!AE122-'记账凭证汇总'!AE123-'记账凭证汇总'!AE124-'记账凭证汇总'!AE125-'记账凭证汇总'!AE126-'记账凭证汇总'!AE137-'记账凭证汇总'!AE168-'记账凭证汇总'!AE172</f>
        <v>8824240.35</v>
      </c>
      <c r="K70" s="173">
        <f>'记账凭证汇总'!AI92+'记账凭证汇总'!AI119+'记账凭证汇总'!AI120+'记账凭证汇总'!AI121+'记账凭证汇总'!AI122-'记账凭证汇总'!AI123-'记账凭证汇总'!AI124-'记账凭证汇总'!AI125-'记账凭证汇总'!AI126-'记账凭证汇总'!AI137-'记账凭证汇总'!AI168-'记账凭证汇总'!AI172</f>
        <v>8824240.35</v>
      </c>
      <c r="L70" s="173">
        <f>'记账凭证汇总'!AM92+'记账凭证汇总'!AM119+'记账凭证汇总'!AM120+'记账凭证汇总'!AM121+'记账凭证汇总'!AM122-'记账凭证汇总'!AM123-'记账凭证汇总'!AM124-'记账凭证汇总'!AM125-'记账凭证汇总'!AM126-'记账凭证汇总'!AM137-'记账凭证汇总'!AM168-'记账凭证汇总'!AM172</f>
        <v>8824240.35</v>
      </c>
      <c r="M70" s="173">
        <f>'记账凭证汇总'!AQ92+'记账凭证汇总'!AQ119+'记账凭证汇总'!AQ120+'记账凭证汇总'!AQ121+'记账凭证汇总'!AQ122-'记账凭证汇总'!AQ123-'记账凭证汇总'!AQ124-'记账凭证汇总'!AQ125-'记账凭证汇总'!AQ126-'记账凭证汇总'!AQ137-'记账凭证汇总'!AQ168-'记账凭证汇总'!AQ172</f>
        <v>8824240.35</v>
      </c>
      <c r="N70" s="173">
        <f>'记账凭证汇总'!AU92+'记账凭证汇总'!AU119+'记账凭证汇总'!AU120+'记账凭证汇总'!AU121+'记账凭证汇总'!AU122-'记账凭证汇总'!AU123-'记账凭证汇总'!AU124-'记账凭证汇总'!AU125-'记账凭证汇总'!AU126-'记账凭证汇总'!AU137-'记账凭证汇总'!AU168-'记账凭证汇总'!AU172</f>
        <v>8824240.35</v>
      </c>
      <c r="O70" s="174">
        <f>'记账凭证汇总'!AY92+'记账凭证汇总'!AY119+'记账凭证汇总'!AY120+'记账凭证汇总'!AY121+'记账凭证汇总'!AY122-'记账凭证汇总'!AY123-'记账凭证汇总'!AY124-'记账凭证汇总'!AY125-'记账凭证汇总'!AY126-'记账凭证汇总'!AY137-'记账凭证汇总'!AY168-'记账凭证汇总'!AY172</f>
        <v>8824240.35</v>
      </c>
    </row>
    <row r="71" spans="1:15" ht="15">
      <c r="A71" s="312" t="s">
        <v>683</v>
      </c>
      <c r="B71" s="161"/>
      <c r="C71" s="435">
        <v>123</v>
      </c>
      <c r="D71" s="459">
        <f aca="true" t="shared" si="9" ref="D71:O71">SUM(D66:D68)+D70</f>
        <v>11824240.35</v>
      </c>
      <c r="E71" s="460">
        <f t="shared" si="9"/>
        <v>11824240.35</v>
      </c>
      <c r="F71" s="460">
        <f t="shared" si="9"/>
        <v>11824240.35</v>
      </c>
      <c r="G71" s="460">
        <f t="shared" si="9"/>
        <v>11824240.35</v>
      </c>
      <c r="H71" s="460">
        <f t="shared" si="9"/>
        <v>11824240.35</v>
      </c>
      <c r="I71" s="460">
        <f t="shared" si="9"/>
        <v>11824240.35</v>
      </c>
      <c r="J71" s="460">
        <f t="shared" si="9"/>
        <v>11824240.35</v>
      </c>
      <c r="K71" s="460">
        <f t="shared" si="9"/>
        <v>11824240.35</v>
      </c>
      <c r="L71" s="460">
        <f t="shared" si="9"/>
        <v>11824240.35</v>
      </c>
      <c r="M71" s="460">
        <f t="shared" si="9"/>
        <v>11824240.35</v>
      </c>
      <c r="N71" s="460">
        <f t="shared" si="9"/>
        <v>11824240.35</v>
      </c>
      <c r="O71" s="461">
        <f t="shared" si="9"/>
        <v>11824240.35</v>
      </c>
    </row>
    <row r="72" spans="1:15" ht="15" thickBot="1">
      <c r="A72" s="921" t="s">
        <v>684</v>
      </c>
      <c r="B72" s="922"/>
      <c r="C72" s="440">
        <v>135</v>
      </c>
      <c r="D72" s="462">
        <f aca="true" t="shared" si="10" ref="D72:O72">D64+D71</f>
        <v>43241707.870000005</v>
      </c>
      <c r="E72" s="463">
        <f t="shared" si="10"/>
        <v>43241707.870000005</v>
      </c>
      <c r="F72" s="463">
        <f t="shared" si="10"/>
        <v>43241707.870000005</v>
      </c>
      <c r="G72" s="463">
        <f t="shared" si="10"/>
        <v>43241707.870000005</v>
      </c>
      <c r="H72" s="463">
        <f t="shared" si="10"/>
        <v>43241707.870000005</v>
      </c>
      <c r="I72" s="463">
        <f t="shared" si="10"/>
        <v>43241707.870000005</v>
      </c>
      <c r="J72" s="463">
        <f t="shared" si="10"/>
        <v>43241707.870000005</v>
      </c>
      <c r="K72" s="463">
        <f t="shared" si="10"/>
        <v>43241707.870000005</v>
      </c>
      <c r="L72" s="463">
        <f t="shared" si="10"/>
        <v>43241707.870000005</v>
      </c>
      <c r="M72" s="463">
        <f t="shared" si="10"/>
        <v>43241707.870000005</v>
      </c>
      <c r="N72" s="463">
        <f t="shared" si="10"/>
        <v>43241707.870000005</v>
      </c>
      <c r="O72" s="464">
        <f t="shared" si="10"/>
        <v>43241707.870000005</v>
      </c>
    </row>
    <row r="73" spans="1:15" ht="14.25">
      <c r="A73" s="3"/>
      <c r="B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25">
      <c r="A74" s="916">
        <f ca="1">NOW()</f>
        <v>38825.56742395833</v>
      </c>
      <c r="B74" s="916"/>
      <c r="D74" s="465">
        <f>D39-D72</f>
        <v>0</v>
      </c>
      <c r="E74" s="466">
        <f aca="true" t="shared" si="11" ref="E74:O74">E39-E72</f>
        <v>0</v>
      </c>
      <c r="F74" s="466">
        <f t="shared" si="11"/>
        <v>0</v>
      </c>
      <c r="G74" s="466">
        <f t="shared" si="11"/>
        <v>0</v>
      </c>
      <c r="H74" s="466">
        <f t="shared" si="11"/>
        <v>0</v>
      </c>
      <c r="I74" s="466">
        <f>I39-I72</f>
        <v>0</v>
      </c>
      <c r="J74" s="466">
        <f t="shared" si="11"/>
        <v>0</v>
      </c>
      <c r="K74" s="466">
        <f t="shared" si="11"/>
        <v>0</v>
      </c>
      <c r="L74" s="466">
        <f t="shared" si="11"/>
        <v>0</v>
      </c>
      <c r="M74" s="466">
        <f>M39-M72</f>
        <v>0</v>
      </c>
      <c r="N74" s="466">
        <f t="shared" si="11"/>
        <v>0</v>
      </c>
      <c r="O74" s="467">
        <f t="shared" si="11"/>
        <v>0</v>
      </c>
    </row>
    <row r="75" spans="1:8" ht="14.25">
      <c r="A75" s="917" t="str">
        <f>CHOOSE(WEEKDAY(A74,2),"星期一","星期二","星期三","星期四","星期五","星期六","星期日")</f>
        <v>星期二</v>
      </c>
      <c r="B75" s="917"/>
      <c r="H75" s="159"/>
    </row>
    <row r="76" spans="1:4" ht="14.25">
      <c r="A76" s="8"/>
      <c r="D76" s="176"/>
    </row>
    <row r="78" ht="14.25">
      <c r="D78" s="80"/>
    </row>
    <row r="79" ht="14.25">
      <c r="C79"/>
    </row>
    <row r="80" ht="14.25">
      <c r="C80"/>
    </row>
    <row r="81" ht="14.25">
      <c r="C81"/>
    </row>
    <row r="82" ht="14.25">
      <c r="C82"/>
    </row>
    <row r="349" ht="9.75" customHeight="1"/>
    <row r="350" ht="9" customHeight="1"/>
  </sheetData>
  <mergeCells count="10">
    <mergeCell ref="A39:B39"/>
    <mergeCell ref="E3:F3"/>
    <mergeCell ref="A5:B5"/>
    <mergeCell ref="A8:A9"/>
    <mergeCell ref="B8:B9"/>
    <mergeCell ref="A74:B74"/>
    <mergeCell ref="A75:B75"/>
    <mergeCell ref="A41:A42"/>
    <mergeCell ref="B41:B42"/>
    <mergeCell ref="A72:B72"/>
  </mergeCells>
  <dataValidations count="5">
    <dataValidation allowBlank="1" showInputMessage="1" showErrorMessage="1" prompt="这里等于零,您就偷着乐吧!&#10;如果不等于零,您就麻烦了!!!" sqref="D74:O74"/>
    <dataValidation allowBlank="1" showInputMessage="1" showErrorMessage="1" prompt="您放心的去喝荼吧!&#10;这里的工作有我哪" sqref="D71:O72"/>
    <dataValidation allowBlank="1" showInputMessage="1" showErrorMessage="1" prompt="计算机将为您做好一切&#10;不再劳架您亲自动手了" sqref="D64:O64"/>
    <dataValidation allowBlank="1" showInputMessage="1" showErrorMessage="1" prompt="计算机将为您自动生成&#10;不用劳架您亲自动手哦" sqref="D62:O62"/>
    <dataValidation allowBlank="1" showInputMessage="1" showErrorMessage="1" prompt="此为计算机自动生成&#10;您不必输入任何数据" sqref="D21:O21 D25:O25 D29:O29 D33:O33 D38:O39 D56:O5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0"/>
  <dimension ref="A1:O60"/>
  <sheetViews>
    <sheetView showGridLines="0" showZeros="0" zoomScale="90" zoomScaleNormal="90" workbookViewId="0" topLeftCell="A1">
      <selection activeCell="L23" sqref="L23"/>
    </sheetView>
  </sheetViews>
  <sheetFormatPr defaultColWidth="9.00390625" defaultRowHeight="14.25"/>
  <cols>
    <col min="1" max="1" width="22.50390625" style="32" customWidth="1"/>
    <col min="2" max="2" width="2.75390625" style="32" customWidth="1"/>
    <col min="3" max="3" width="5.125" style="32" customWidth="1"/>
    <col min="4" max="4" width="15.375" style="32" customWidth="1"/>
    <col min="5" max="5" width="14.875" style="32" customWidth="1"/>
    <col min="6" max="6" width="19.875" style="32" customWidth="1"/>
    <col min="7" max="7" width="11.375" style="32" customWidth="1"/>
    <col min="8" max="8" width="5.125" style="32" customWidth="1"/>
    <col min="9" max="9" width="15.625" style="32" customWidth="1"/>
    <col min="10" max="10" width="14.75390625" style="32" customWidth="1"/>
    <col min="11" max="11" width="1.4921875" style="32" customWidth="1"/>
    <col min="12" max="12" width="12.00390625" style="32" customWidth="1"/>
    <col min="13" max="13" width="9.75390625" style="32" customWidth="1"/>
    <col min="14" max="16384" width="9.00390625" style="32" customWidth="1"/>
  </cols>
  <sheetData>
    <row r="1" spans="1:15" ht="12">
      <c r="A1" s="874"/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</row>
    <row r="2" spans="1:15" ht="20.25">
      <c r="A2" s="878" t="s">
        <v>337</v>
      </c>
      <c r="B2" s="879"/>
      <c r="C2" s="879"/>
      <c r="D2" s="879"/>
      <c r="E2" s="879"/>
      <c r="F2" s="879"/>
      <c r="G2" s="879"/>
      <c r="H2" s="879"/>
      <c r="I2" s="879"/>
      <c r="J2" s="879"/>
      <c r="K2" s="874"/>
      <c r="L2" s="553">
        <v>1</v>
      </c>
      <c r="M2" s="874"/>
      <c r="N2" s="874"/>
      <c r="O2" s="874"/>
    </row>
    <row r="3" spans="1:15" ht="5.25" customHeight="1">
      <c r="A3" s="880"/>
      <c r="B3" s="879"/>
      <c r="C3" s="879"/>
      <c r="D3" s="879"/>
      <c r="E3" s="879"/>
      <c r="F3" s="879"/>
      <c r="G3" s="879"/>
      <c r="H3" s="879"/>
      <c r="I3" s="879"/>
      <c r="J3" s="879"/>
      <c r="K3" s="874"/>
      <c r="L3" s="874"/>
      <c r="M3" s="874"/>
      <c r="N3" s="874"/>
      <c r="O3" s="874"/>
    </row>
    <row r="4" spans="1:15" ht="12.75">
      <c r="A4" s="874"/>
      <c r="B4" s="874"/>
      <c r="C4" s="874"/>
      <c r="D4" s="874"/>
      <c r="E4" s="929">
        <f>HLOOKUP(L2,'资产负债表'!D7:Q76,2)</f>
        <v>38718</v>
      </c>
      <c r="F4" s="929"/>
      <c r="G4" s="874"/>
      <c r="H4" s="874"/>
      <c r="I4" s="874"/>
      <c r="J4" s="874" t="s">
        <v>685</v>
      </c>
      <c r="K4" s="874"/>
      <c r="L4" s="874"/>
      <c r="M4" s="874"/>
      <c r="N4" s="874"/>
      <c r="O4" s="874"/>
    </row>
    <row r="5" spans="1:15" ht="12.75">
      <c r="A5" s="874" t="s">
        <v>1044</v>
      </c>
      <c r="B5" s="874"/>
      <c r="C5" s="874"/>
      <c r="D5" s="874"/>
      <c r="E5" s="874"/>
      <c r="F5" s="874"/>
      <c r="G5" s="874"/>
      <c r="H5" s="874"/>
      <c r="I5" s="881"/>
      <c r="J5" s="874" t="s">
        <v>686</v>
      </c>
      <c r="K5" s="874"/>
      <c r="L5" s="874"/>
      <c r="M5" s="874"/>
      <c r="N5" s="874"/>
      <c r="O5" s="874"/>
    </row>
    <row r="6" spans="1:15" ht="6" customHeight="1" thickBot="1">
      <c r="A6" s="874"/>
      <c r="B6" s="874"/>
      <c r="C6" s="874"/>
      <c r="D6" s="874"/>
      <c r="E6" s="874"/>
      <c r="F6" s="874"/>
      <c r="G6" s="874"/>
      <c r="H6" s="874"/>
      <c r="I6" s="881"/>
      <c r="J6" s="881"/>
      <c r="K6" s="874"/>
      <c r="L6" s="874"/>
      <c r="M6" s="874"/>
      <c r="N6" s="874"/>
      <c r="O6" s="874"/>
    </row>
    <row r="7" spans="1:15" ht="28.5" customHeight="1">
      <c r="A7" s="816" t="s">
        <v>687</v>
      </c>
      <c r="B7" s="12"/>
      <c r="C7" s="817" t="s">
        <v>784</v>
      </c>
      <c r="D7" s="818" t="s">
        <v>688</v>
      </c>
      <c r="E7" s="554" t="s">
        <v>689</v>
      </c>
      <c r="F7" s="819" t="s">
        <v>785</v>
      </c>
      <c r="G7" s="820"/>
      <c r="H7" s="818" t="s">
        <v>786</v>
      </c>
      <c r="I7" s="818" t="s">
        <v>688</v>
      </c>
      <c r="J7" s="13" t="s">
        <v>690</v>
      </c>
      <c r="K7" s="874"/>
      <c r="L7" s="916">
        <f ca="1">NOW()</f>
        <v>38825.56742395833</v>
      </c>
      <c r="M7" s="916"/>
      <c r="N7" s="874"/>
      <c r="O7" s="874"/>
    </row>
    <row r="8" spans="1:15" ht="2.25" customHeight="1">
      <c r="A8" s="824"/>
      <c r="B8" s="824"/>
      <c r="C8" s="825"/>
      <c r="D8" s="824"/>
      <c r="E8" s="825"/>
      <c r="F8" s="826"/>
      <c r="G8" s="826"/>
      <c r="H8" s="824"/>
      <c r="I8" s="824"/>
      <c r="J8" s="824"/>
      <c r="K8" s="874"/>
      <c r="L8" s="827"/>
      <c r="M8" s="827"/>
      <c r="N8" s="874"/>
      <c r="O8" s="874"/>
    </row>
    <row r="9" spans="1:15" ht="16.5" customHeight="1">
      <c r="A9" s="660" t="s">
        <v>787</v>
      </c>
      <c r="B9" s="661"/>
      <c r="C9" s="641"/>
      <c r="D9" s="662"/>
      <c r="E9" s="821"/>
      <c r="F9" s="822" t="s">
        <v>788</v>
      </c>
      <c r="G9" s="823"/>
      <c r="H9" s="641"/>
      <c r="I9" s="662"/>
      <c r="J9" s="851"/>
      <c r="K9" s="874"/>
      <c r="L9" s="917" t="str">
        <f>CHOOSE(WEEKDAY(L7,2),"星期一","星期二","星期三","星期四","星期五","星期六","星期日")</f>
        <v>星期二</v>
      </c>
      <c r="M9" s="917"/>
      <c r="N9" s="874"/>
      <c r="O9" s="874"/>
    </row>
    <row r="10" spans="1:15" ht="16.5" customHeight="1">
      <c r="A10" s="653" t="s">
        <v>611</v>
      </c>
      <c r="B10" s="654"/>
      <c r="C10" s="368">
        <v>1</v>
      </c>
      <c r="D10" s="655"/>
      <c r="E10" s="671">
        <f>HLOOKUP($L$2,'资产负债表'!$D$7:$Q$76,5)</f>
        <v>8239677.94999999</v>
      </c>
      <c r="F10" s="656" t="s">
        <v>658</v>
      </c>
      <c r="G10" s="654"/>
      <c r="H10" s="368">
        <v>68</v>
      </c>
      <c r="I10" s="655"/>
      <c r="J10" s="673">
        <f>HLOOKUP($L$2,'资产负债表'!$D$7:$Q$76,38)</f>
        <v>21033772</v>
      </c>
      <c r="K10" s="874"/>
      <c r="L10" s="874"/>
      <c r="M10" s="874"/>
      <c r="N10" s="874"/>
      <c r="O10" s="874"/>
    </row>
    <row r="11" spans="1:15" ht="16.5" customHeight="1">
      <c r="A11" s="653" t="s">
        <v>612</v>
      </c>
      <c r="B11" s="654"/>
      <c r="C11" s="368">
        <v>2</v>
      </c>
      <c r="D11" s="655"/>
      <c r="E11" s="671">
        <f>HLOOKUP($L$2,'资产负债表'!$D$7:$Q$76,6)</f>
        <v>0</v>
      </c>
      <c r="F11" s="656" t="s">
        <v>659</v>
      </c>
      <c r="G11" s="654"/>
      <c r="H11" s="368">
        <v>69</v>
      </c>
      <c r="I11" s="655"/>
      <c r="J11" s="673">
        <f>HLOOKUP($L$2,'资产负债表'!$D$7:$Q$76,39)</f>
        <v>4300000</v>
      </c>
      <c r="K11" s="874"/>
      <c r="L11" s="874"/>
      <c r="M11" s="874"/>
      <c r="N11" s="874"/>
      <c r="O11" s="874"/>
    </row>
    <row r="12" spans="1:15" ht="16.5" customHeight="1">
      <c r="A12" s="653" t="s">
        <v>613</v>
      </c>
      <c r="B12" s="654"/>
      <c r="C12" s="368">
        <v>3</v>
      </c>
      <c r="D12" s="655"/>
      <c r="E12" s="671">
        <f>HLOOKUP($L$2,'资产负债表'!$D$7:$Q$76,7)</f>
        <v>0</v>
      </c>
      <c r="F12" s="656" t="s">
        <v>660</v>
      </c>
      <c r="G12" s="654"/>
      <c r="H12" s="368">
        <v>70</v>
      </c>
      <c r="I12" s="655"/>
      <c r="J12" s="673">
        <f>HLOOKUP($L$2,'资产负债表'!$D$7:$Q$76,40)</f>
        <v>0</v>
      </c>
      <c r="K12" s="874"/>
      <c r="L12" s="874"/>
      <c r="M12" s="874"/>
      <c r="N12" s="874"/>
      <c r="O12" s="874"/>
    </row>
    <row r="13" spans="1:15" ht="16.5" customHeight="1">
      <c r="A13" s="653" t="s">
        <v>614</v>
      </c>
      <c r="B13" s="654"/>
      <c r="C13" s="368">
        <v>4</v>
      </c>
      <c r="D13" s="655"/>
      <c r="E13" s="671">
        <f>HLOOKUP($L$2,'资产负债表'!$D$7:$Q$76,8)</f>
        <v>0</v>
      </c>
      <c r="F13" s="657" t="s">
        <v>661</v>
      </c>
      <c r="G13" s="658"/>
      <c r="H13" s="368">
        <v>72</v>
      </c>
      <c r="I13" s="655"/>
      <c r="J13" s="673">
        <f>HLOOKUP($L$2,'资产负债表'!$D$7:$Q$76,41)</f>
        <v>92915.58</v>
      </c>
      <c r="K13" s="874"/>
      <c r="L13" s="874"/>
      <c r="M13" s="874"/>
      <c r="N13" s="874"/>
      <c r="O13" s="874"/>
    </row>
    <row r="14" spans="1:15" ht="16.5" customHeight="1">
      <c r="A14" s="653" t="s">
        <v>615</v>
      </c>
      <c r="B14" s="654"/>
      <c r="C14" s="368">
        <v>6</v>
      </c>
      <c r="D14" s="655"/>
      <c r="E14" s="671">
        <f>HLOOKUP($L$2,'资产负债表'!$D$7:$Q$76,9)</f>
        <v>177377</v>
      </c>
      <c r="F14" s="657" t="s">
        <v>662</v>
      </c>
      <c r="G14" s="658"/>
      <c r="H14" s="368">
        <v>73</v>
      </c>
      <c r="I14" s="655"/>
      <c r="J14" s="673">
        <f>HLOOKUP($L$2,'资产负债表'!$D$7:$Q$76,42)</f>
        <v>0</v>
      </c>
      <c r="K14" s="874"/>
      <c r="L14" s="874"/>
      <c r="M14" s="874"/>
      <c r="N14" s="874"/>
      <c r="O14" s="874"/>
    </row>
    <row r="15" spans="1:15" ht="16.5" customHeight="1">
      <c r="A15" s="653" t="s">
        <v>616</v>
      </c>
      <c r="B15" s="654"/>
      <c r="C15" s="368">
        <v>7</v>
      </c>
      <c r="D15" s="655"/>
      <c r="E15" s="671">
        <f>HLOOKUP($L$2,'资产负债表'!$D$7:$Q$76,10)</f>
        <v>6028070.72</v>
      </c>
      <c r="F15" s="657" t="s">
        <v>663</v>
      </c>
      <c r="G15" s="658"/>
      <c r="H15" s="368">
        <v>74</v>
      </c>
      <c r="I15" s="655"/>
      <c r="J15" s="673">
        <f>HLOOKUP($L$2,'资产负债表'!$D$7:$Q$76,43)</f>
        <v>0</v>
      </c>
      <c r="K15" s="874"/>
      <c r="L15" s="874"/>
      <c r="M15" s="874"/>
      <c r="N15" s="874"/>
      <c r="O15" s="874"/>
    </row>
    <row r="16" spans="1:15" ht="16.5" customHeight="1">
      <c r="A16" s="653" t="s">
        <v>617</v>
      </c>
      <c r="B16" s="654"/>
      <c r="C16" s="368">
        <v>10</v>
      </c>
      <c r="D16" s="655"/>
      <c r="E16" s="671">
        <f>HLOOKUP($L$2,'资产负债表'!$D$7:$Q$76,11)</f>
        <v>1041167.21</v>
      </c>
      <c r="F16" s="657" t="s">
        <v>664</v>
      </c>
      <c r="G16" s="658"/>
      <c r="H16" s="368">
        <v>76</v>
      </c>
      <c r="I16" s="655"/>
      <c r="J16" s="673">
        <f>HLOOKUP($L$2,'资产负债表'!$D$7:$Q$76,44)</f>
        <v>470</v>
      </c>
      <c r="K16" s="874"/>
      <c r="L16" s="874"/>
      <c r="M16" s="874"/>
      <c r="N16" s="874"/>
      <c r="O16" s="874"/>
    </row>
    <row r="17" spans="1:15" ht="16.5" customHeight="1">
      <c r="A17" s="653" t="s">
        <v>622</v>
      </c>
      <c r="B17" s="654"/>
      <c r="C17" s="368">
        <v>11</v>
      </c>
      <c r="D17" s="655"/>
      <c r="E17" s="671">
        <f>HLOOKUP($L$2,'资产负债表'!$D$7:$Q$76,12)</f>
        <v>1128931.17</v>
      </c>
      <c r="F17" s="657" t="s">
        <v>665</v>
      </c>
      <c r="G17" s="658"/>
      <c r="H17" s="368">
        <v>80</v>
      </c>
      <c r="I17" s="655"/>
      <c r="J17" s="673">
        <f>HLOOKUP($L$2,'资产负债表'!$D$7:$Q$76,45)</f>
        <v>0</v>
      </c>
      <c r="K17" s="874"/>
      <c r="L17" s="874"/>
      <c r="M17" s="874"/>
      <c r="N17" s="874"/>
      <c r="O17" s="874"/>
    </row>
    <row r="18" spans="1:15" ht="16.5" customHeight="1">
      <c r="A18" s="653" t="s">
        <v>623</v>
      </c>
      <c r="B18" s="654"/>
      <c r="C18" s="368">
        <v>21</v>
      </c>
      <c r="D18" s="655">
        <v>0</v>
      </c>
      <c r="E18" s="671">
        <f>HLOOKUP($L$2,'资产负债表'!$D$7:$Q$76,13)</f>
        <v>0</v>
      </c>
      <c r="F18" s="657" t="s">
        <v>666</v>
      </c>
      <c r="G18" s="658"/>
      <c r="H18" s="368">
        <v>81</v>
      </c>
      <c r="I18" s="655"/>
      <c r="J18" s="673">
        <f>HLOOKUP($L$2,'资产负债表'!$D$7:$Q$76,46)</f>
        <v>5990309.940000005</v>
      </c>
      <c r="K18" s="874"/>
      <c r="L18" s="874"/>
      <c r="M18" s="874"/>
      <c r="N18" s="874"/>
      <c r="O18" s="874"/>
    </row>
    <row r="19" spans="1:15" ht="16.5" customHeight="1">
      <c r="A19" s="653" t="s">
        <v>624</v>
      </c>
      <c r="B19" s="654"/>
      <c r="C19" s="368">
        <v>24</v>
      </c>
      <c r="D19" s="655">
        <v>0</v>
      </c>
      <c r="E19" s="671">
        <f>HLOOKUP($L$2,'资产负债表'!$D$7:$Q$76,14)</f>
        <v>0</v>
      </c>
      <c r="F19" s="657" t="s">
        <v>667</v>
      </c>
      <c r="G19" s="658"/>
      <c r="H19" s="368">
        <v>82</v>
      </c>
      <c r="I19" s="655">
        <v>0</v>
      </c>
      <c r="J19" s="673">
        <f>HLOOKUP($L$2,'资产负债表'!$D$7:$Q$76,47)</f>
        <v>0</v>
      </c>
      <c r="K19" s="874"/>
      <c r="L19" s="874"/>
      <c r="M19" s="874"/>
      <c r="N19" s="874"/>
      <c r="O19" s="874"/>
    </row>
    <row r="20" spans="1:15" ht="16.5" customHeight="1">
      <c r="A20" s="642" t="s">
        <v>625</v>
      </c>
      <c r="B20" s="643"/>
      <c r="C20" s="644">
        <v>31</v>
      </c>
      <c r="D20" s="813">
        <f>SUM(D10:D19)</f>
        <v>0</v>
      </c>
      <c r="E20" s="845">
        <f>SUM(E10:E19)</f>
        <v>16615224.049999991</v>
      </c>
      <c r="F20" s="657" t="s">
        <v>668</v>
      </c>
      <c r="G20" s="658"/>
      <c r="H20" s="368">
        <v>86</v>
      </c>
      <c r="I20" s="655">
        <v>0</v>
      </c>
      <c r="J20" s="673">
        <f>HLOOKUP($L$2,'资产负债表'!$D$7:$Q$76,48)</f>
        <v>0</v>
      </c>
      <c r="K20" s="874"/>
      <c r="L20" s="874"/>
      <c r="M20" s="874"/>
      <c r="N20" s="874"/>
      <c r="O20" s="874"/>
    </row>
    <row r="21" spans="1:15" ht="16.5" customHeight="1">
      <c r="A21" s="660" t="s">
        <v>626</v>
      </c>
      <c r="B21" s="661"/>
      <c r="C21" s="641"/>
      <c r="D21" s="662">
        <v>0</v>
      </c>
      <c r="E21" s="672">
        <f>HLOOKUP($L$2,'资产负债表'!$D$7:$Q$76,16)</f>
        <v>0</v>
      </c>
      <c r="F21" s="657" t="s">
        <v>669</v>
      </c>
      <c r="G21" s="658"/>
      <c r="H21" s="368">
        <v>90</v>
      </c>
      <c r="I21" s="655">
        <v>0</v>
      </c>
      <c r="J21" s="673">
        <f>HLOOKUP($L$2,'资产负债表'!$D$7:$Q$76,49)</f>
        <v>0</v>
      </c>
      <c r="K21" s="874"/>
      <c r="L21" s="874"/>
      <c r="M21" s="874"/>
      <c r="N21" s="874"/>
      <c r="O21" s="874"/>
    </row>
    <row r="22" spans="1:15" ht="16.5" customHeight="1">
      <c r="A22" s="653" t="s">
        <v>627</v>
      </c>
      <c r="B22" s="654"/>
      <c r="C22" s="368">
        <v>32</v>
      </c>
      <c r="D22" s="655"/>
      <c r="E22" s="671">
        <f>HLOOKUP($L$2,'资产负债表'!$D$7:$Q$76,17)</f>
        <v>0</v>
      </c>
      <c r="F22" s="646" t="s">
        <v>670</v>
      </c>
      <c r="G22" s="643"/>
      <c r="H22" s="644">
        <v>100</v>
      </c>
      <c r="I22" s="813">
        <f>SUM(I10:I21)</f>
        <v>0</v>
      </c>
      <c r="J22" s="852">
        <f>SUM(J10:J21)</f>
        <v>31417467.520000003</v>
      </c>
      <c r="K22" s="874"/>
      <c r="L22" s="874"/>
      <c r="M22" s="874"/>
      <c r="N22" s="874"/>
      <c r="O22" s="874"/>
    </row>
    <row r="23" spans="1:15" ht="16.5" customHeight="1">
      <c r="A23" s="663" t="s">
        <v>628</v>
      </c>
      <c r="B23" s="658"/>
      <c r="C23" s="368">
        <v>34</v>
      </c>
      <c r="D23" s="655"/>
      <c r="E23" s="671">
        <f>HLOOKUP($L$2,'资产负债表'!$D$7:$Q$76,18)</f>
        <v>0</v>
      </c>
      <c r="F23" s="664" t="s">
        <v>671</v>
      </c>
      <c r="G23" s="661"/>
      <c r="H23" s="641"/>
      <c r="I23" s="662">
        <v>0</v>
      </c>
      <c r="J23" s="674">
        <f>HLOOKUP($L$2,'资产负债表'!$D$7:$Q$76,51)</f>
        <v>0</v>
      </c>
      <c r="K23" s="874"/>
      <c r="L23" s="874"/>
      <c r="M23" s="874"/>
      <c r="N23" s="874"/>
      <c r="O23" s="874"/>
    </row>
    <row r="24" spans="1:15" ht="16.5" customHeight="1">
      <c r="A24" s="312" t="s">
        <v>629</v>
      </c>
      <c r="B24" s="418"/>
      <c r="C24" s="368">
        <v>38</v>
      </c>
      <c r="D24" s="655"/>
      <c r="E24" s="846">
        <f>SUM(E22:E23)</f>
        <v>0</v>
      </c>
      <c r="F24" s="657" t="s">
        <v>672</v>
      </c>
      <c r="G24" s="658"/>
      <c r="H24" s="368">
        <v>101</v>
      </c>
      <c r="I24" s="655"/>
      <c r="J24" s="673">
        <f>HLOOKUP($L$2,'资产负债表'!$D$7:$Q$76,52)</f>
        <v>0</v>
      </c>
      <c r="K24" s="874"/>
      <c r="L24" s="874"/>
      <c r="M24" s="874"/>
      <c r="N24" s="874"/>
      <c r="O24" s="874"/>
    </row>
    <row r="25" spans="1:15" ht="16.5" customHeight="1">
      <c r="A25" s="663" t="s">
        <v>630</v>
      </c>
      <c r="B25" s="658"/>
      <c r="C25" s="368"/>
      <c r="D25" s="665">
        <v>0</v>
      </c>
      <c r="E25" s="671">
        <f>HLOOKUP($L$2,'资产负债表'!$D$7:$Q$76,20)</f>
        <v>0</v>
      </c>
      <c r="F25" s="657" t="s">
        <v>673</v>
      </c>
      <c r="G25" s="658"/>
      <c r="H25" s="368">
        <v>103</v>
      </c>
      <c r="I25" s="655">
        <v>0</v>
      </c>
      <c r="J25" s="673">
        <f>HLOOKUP($L$2,'资产负债表'!$D$7:$Q$76,53)</f>
        <v>0</v>
      </c>
      <c r="K25" s="874"/>
      <c r="L25" s="874"/>
      <c r="M25" s="874"/>
      <c r="N25" s="874"/>
      <c r="O25" s="874"/>
    </row>
    <row r="26" spans="1:15" ht="16.5" customHeight="1">
      <c r="A26" s="653" t="s">
        <v>631</v>
      </c>
      <c r="B26" s="654"/>
      <c r="C26" s="368">
        <v>39</v>
      </c>
      <c r="D26" s="655"/>
      <c r="E26" s="671">
        <f>HLOOKUP($L$2,'资产负债表'!$D$7:$Q$76,21)</f>
        <v>28596722.229999997</v>
      </c>
      <c r="F26" s="657" t="s">
        <v>674</v>
      </c>
      <c r="G26" s="658"/>
      <c r="H26" s="368">
        <v>106</v>
      </c>
      <c r="I26" s="655">
        <v>0</v>
      </c>
      <c r="J26" s="673">
        <f>HLOOKUP($L$2,'资产负债表'!$D$7:$Q$76,54)</f>
        <v>0</v>
      </c>
      <c r="K26" s="874"/>
      <c r="L26" s="874"/>
      <c r="M26" s="874"/>
      <c r="N26" s="874"/>
      <c r="O26" s="874"/>
    </row>
    <row r="27" spans="1:15" ht="16.5" customHeight="1">
      <c r="A27" s="663" t="s">
        <v>632</v>
      </c>
      <c r="B27" s="658"/>
      <c r="C27" s="368">
        <v>40</v>
      </c>
      <c r="D27" s="655"/>
      <c r="E27" s="671">
        <f>HLOOKUP($L$2,'资产负债表'!$D$7:$Q$76,22)</f>
        <v>1970538.41</v>
      </c>
      <c r="F27" s="657"/>
      <c r="G27" s="658"/>
      <c r="H27" s="368">
        <v>108</v>
      </c>
      <c r="I27" s="655">
        <v>0</v>
      </c>
      <c r="J27" s="673">
        <f>HLOOKUP($L$2,'资产负债表'!$D$7:$Q$76,55)</f>
        <v>0</v>
      </c>
      <c r="K27" s="874"/>
      <c r="L27" s="874"/>
      <c r="M27" s="874"/>
      <c r="N27" s="874"/>
      <c r="O27" s="874"/>
    </row>
    <row r="28" spans="1:15" ht="16.5" customHeight="1">
      <c r="A28" s="653" t="s">
        <v>633</v>
      </c>
      <c r="B28" s="654"/>
      <c r="C28" s="368">
        <v>40</v>
      </c>
      <c r="D28" s="655"/>
      <c r="E28" s="847">
        <f>E26-E27</f>
        <v>26626183.819999997</v>
      </c>
      <c r="F28" s="647" t="s">
        <v>675</v>
      </c>
      <c r="G28" s="648"/>
      <c r="H28" s="649">
        <v>110</v>
      </c>
      <c r="I28" s="813">
        <f>SUM(I24:I27)</f>
        <v>0</v>
      </c>
      <c r="J28" s="853">
        <f>SUM(J24:J27)</f>
        <v>0</v>
      </c>
      <c r="K28" s="874"/>
      <c r="L28" s="874"/>
      <c r="M28" s="874"/>
      <c r="N28" s="874"/>
      <c r="O28" s="874"/>
    </row>
    <row r="29" spans="1:15" ht="16.5" customHeight="1">
      <c r="A29" s="653" t="s">
        <v>634</v>
      </c>
      <c r="B29" s="654"/>
      <c r="C29" s="368">
        <v>44</v>
      </c>
      <c r="D29" s="666">
        <v>0</v>
      </c>
      <c r="E29" s="671">
        <f>HLOOKUP($L$2,'资产负债表'!$D$7:$Q$76,24)</f>
        <v>0</v>
      </c>
      <c r="F29" s="667"/>
      <c r="G29" s="651"/>
      <c r="H29" s="415"/>
      <c r="I29" s="652"/>
      <c r="J29" s="854"/>
      <c r="K29" s="874"/>
      <c r="L29" s="874"/>
      <c r="M29" s="874"/>
      <c r="N29" s="874"/>
      <c r="O29" s="874"/>
    </row>
    <row r="30" spans="1:15" ht="16.5" customHeight="1">
      <c r="A30" s="653" t="s">
        <v>635</v>
      </c>
      <c r="B30" s="654"/>
      <c r="C30" s="368">
        <v>45</v>
      </c>
      <c r="D30" s="666"/>
      <c r="E30" s="671">
        <f>HLOOKUP($L$2,'资产负债表'!$D$7:$Q$76,25)</f>
        <v>300</v>
      </c>
      <c r="F30" s="646" t="s">
        <v>676</v>
      </c>
      <c r="G30" s="643"/>
      <c r="H30" s="644">
        <v>114</v>
      </c>
      <c r="I30" s="813">
        <f>I22+I28</f>
        <v>0</v>
      </c>
      <c r="J30" s="852">
        <f>J22+J28</f>
        <v>31417467.520000003</v>
      </c>
      <c r="K30" s="874"/>
      <c r="L30" s="874"/>
      <c r="M30" s="874"/>
      <c r="N30" s="874"/>
      <c r="O30" s="874"/>
    </row>
    <row r="31" spans="1:15" ht="16.5" customHeight="1">
      <c r="A31" s="653" t="s">
        <v>636</v>
      </c>
      <c r="B31" s="654"/>
      <c r="C31" s="368">
        <v>46</v>
      </c>
      <c r="D31" s="666">
        <v>0</v>
      </c>
      <c r="E31" s="671">
        <f>HLOOKUP($L$2,'资产负债表'!$D$7:$Q$76,26)</f>
        <v>0</v>
      </c>
      <c r="F31" s="664" t="s">
        <v>677</v>
      </c>
      <c r="G31" s="661"/>
      <c r="H31" s="641"/>
      <c r="I31" s="662"/>
      <c r="J31" s="851"/>
      <c r="K31" s="874"/>
      <c r="L31" s="874"/>
      <c r="M31" s="874"/>
      <c r="N31" s="874"/>
      <c r="O31" s="874"/>
    </row>
    <row r="32" spans="1:15" ht="16.5" customHeight="1">
      <c r="A32" s="642" t="s">
        <v>637</v>
      </c>
      <c r="B32" s="643"/>
      <c r="C32" s="644">
        <v>50</v>
      </c>
      <c r="D32" s="814">
        <f>SUM(D28:D31)</f>
        <v>0</v>
      </c>
      <c r="E32" s="848">
        <f>SUM(E28:E31)</f>
        <v>26626483.819999997</v>
      </c>
      <c r="F32" s="657" t="s">
        <v>678</v>
      </c>
      <c r="G32" s="658"/>
      <c r="H32" s="368">
        <v>115</v>
      </c>
      <c r="I32" s="655"/>
      <c r="J32" s="673">
        <f>HLOOKUP($L$2,'资产负债表'!$D$7:$Q$76,60)</f>
        <v>3000000</v>
      </c>
      <c r="K32" s="874"/>
      <c r="L32" s="874"/>
      <c r="M32" s="874"/>
      <c r="N32" s="874"/>
      <c r="O32" s="874"/>
    </row>
    <row r="33" spans="1:15" ht="16.5" customHeight="1">
      <c r="A33" s="660" t="s">
        <v>638</v>
      </c>
      <c r="B33" s="661"/>
      <c r="C33" s="641"/>
      <c r="D33" s="662">
        <v>0</v>
      </c>
      <c r="E33" s="672">
        <f>HLOOKUP($L$2,'资产负债表'!$D$7:$Q$76,28)</f>
        <v>0</v>
      </c>
      <c r="F33" s="657" t="s">
        <v>679</v>
      </c>
      <c r="G33" s="658"/>
      <c r="H33" s="368">
        <v>120</v>
      </c>
      <c r="I33" s="655">
        <v>0</v>
      </c>
      <c r="J33" s="673">
        <f>HLOOKUP($L$2,'资产负债表'!$D$7:$Q$76,61)</f>
        <v>0</v>
      </c>
      <c r="K33" s="874"/>
      <c r="L33" s="874"/>
      <c r="M33" s="874"/>
      <c r="N33" s="874"/>
      <c r="O33" s="874"/>
    </row>
    <row r="34" spans="1:15" ht="16.5" customHeight="1">
      <c r="A34" s="653" t="s">
        <v>639</v>
      </c>
      <c r="B34" s="654"/>
      <c r="C34" s="368">
        <v>51</v>
      </c>
      <c r="D34" s="655">
        <v>0</v>
      </c>
      <c r="E34" s="671">
        <f>HLOOKUP($L$2,'资产负债表'!$D$7:$Q$76,29)</f>
        <v>0</v>
      </c>
      <c r="F34" s="657" t="s">
        <v>680</v>
      </c>
      <c r="G34" s="658"/>
      <c r="H34" s="368">
        <v>121</v>
      </c>
      <c r="I34" s="655">
        <v>0</v>
      </c>
      <c r="J34" s="673">
        <f>HLOOKUP($L$2,'资产负债表'!$D$7:$Q$76,62)</f>
        <v>0</v>
      </c>
      <c r="K34" s="874"/>
      <c r="L34" s="874"/>
      <c r="M34" s="874"/>
      <c r="N34" s="874"/>
      <c r="O34" s="874"/>
    </row>
    <row r="35" spans="1:15" ht="16.5" customHeight="1">
      <c r="A35" s="663" t="s">
        <v>640</v>
      </c>
      <c r="B35" s="658"/>
      <c r="C35" s="368">
        <v>52</v>
      </c>
      <c r="D35" s="655">
        <v>0</v>
      </c>
      <c r="E35" s="671">
        <f>HLOOKUP($L$2,'资产负债表'!$D$7:$Q$76,30)</f>
        <v>0</v>
      </c>
      <c r="F35" s="657" t="s">
        <v>681</v>
      </c>
      <c r="G35" s="658"/>
      <c r="H35" s="368">
        <v>122</v>
      </c>
      <c r="I35" s="655">
        <v>0</v>
      </c>
      <c r="J35" s="673">
        <f>HLOOKUP($L$2,'资产负债表'!$D$7:$Q$76,63)</f>
        <v>0</v>
      </c>
      <c r="K35" s="874"/>
      <c r="L35" s="874"/>
      <c r="M35" s="874"/>
      <c r="N35" s="874"/>
      <c r="O35" s="874"/>
    </row>
    <row r="36" spans="1:15" ht="16.5" customHeight="1">
      <c r="A36" s="653" t="s">
        <v>641</v>
      </c>
      <c r="B36" s="654"/>
      <c r="C36" s="368">
        <v>53</v>
      </c>
      <c r="D36" s="655">
        <v>0</v>
      </c>
      <c r="E36" s="671">
        <f>HLOOKUP($L$2,'资产负债表'!$D$7:$Q$76,31)</f>
        <v>0</v>
      </c>
      <c r="F36" s="657" t="s">
        <v>682</v>
      </c>
      <c r="G36" s="658"/>
      <c r="H36" s="368">
        <v>123</v>
      </c>
      <c r="I36" s="843"/>
      <c r="J36" s="842">
        <f>HLOOKUP($L$2,'资产负债表'!$D$7:$Q$76,64)</f>
        <v>8824240.35</v>
      </c>
      <c r="K36" s="874"/>
      <c r="L36" s="874"/>
      <c r="M36" s="874"/>
      <c r="N36" s="874"/>
      <c r="O36" s="874"/>
    </row>
    <row r="37" spans="1:15" ht="16.5" customHeight="1">
      <c r="A37" s="668" t="s">
        <v>642</v>
      </c>
      <c r="B37" s="669"/>
      <c r="C37" s="644">
        <v>60</v>
      </c>
      <c r="D37" s="659">
        <v>0</v>
      </c>
      <c r="E37" s="849">
        <f>SUM(E34:E36)</f>
        <v>0</v>
      </c>
      <c r="F37" s="650" t="s">
        <v>691</v>
      </c>
      <c r="G37" s="643"/>
      <c r="H37" s="644">
        <v>123</v>
      </c>
      <c r="I37" s="844">
        <f>I32+I33+I34+I36</f>
        <v>0</v>
      </c>
      <c r="J37" s="855">
        <f>J32+J33+J34+J36</f>
        <v>11824240.35</v>
      </c>
      <c r="K37" s="874"/>
      <c r="L37" s="874"/>
      <c r="M37" s="874"/>
      <c r="N37" s="874"/>
      <c r="O37" s="874"/>
    </row>
    <row r="38" spans="1:15" ht="16.5" customHeight="1" thickBot="1">
      <c r="A38" s="930" t="s">
        <v>643</v>
      </c>
      <c r="B38" s="931"/>
      <c r="C38" s="645">
        <v>61</v>
      </c>
      <c r="D38" s="670">
        <f>D20+D24+D32+D37</f>
        <v>0</v>
      </c>
      <c r="E38" s="850">
        <f>E20+E24+E32+E37</f>
        <v>43241707.86999999</v>
      </c>
      <c r="F38" s="932" t="s">
        <v>684</v>
      </c>
      <c r="G38" s="931"/>
      <c r="H38" s="645">
        <v>135</v>
      </c>
      <c r="I38" s="815">
        <f>I30+I37</f>
        <v>0</v>
      </c>
      <c r="J38" s="856">
        <f>J30+J37</f>
        <v>43241707.870000005</v>
      </c>
      <c r="K38" s="874"/>
      <c r="L38" s="874"/>
      <c r="M38" s="874"/>
      <c r="N38" s="874"/>
      <c r="O38" s="874"/>
    </row>
    <row r="39" spans="1:15" ht="16.5" customHeight="1">
      <c r="A39" s="10"/>
      <c r="B39" s="10"/>
      <c r="C39" s="10"/>
      <c r="D39" s="874"/>
      <c r="E39" s="875"/>
      <c r="F39" s="10"/>
      <c r="G39" s="10"/>
      <c r="H39" s="10"/>
      <c r="I39" s="874"/>
      <c r="J39" s="876"/>
      <c r="K39" s="10"/>
      <c r="L39" s="10"/>
      <c r="M39" s="10"/>
      <c r="N39" s="10"/>
      <c r="O39" s="10"/>
    </row>
    <row r="40" spans="1:15" ht="14.25" customHeight="1">
      <c r="A40" s="916">
        <f ca="1">NOW()</f>
        <v>38825.56742395833</v>
      </c>
      <c r="B40" s="916"/>
      <c r="C40" s="10"/>
      <c r="D40" s="874"/>
      <c r="E40" s="10"/>
      <c r="F40" s="10"/>
      <c r="G40" s="10"/>
      <c r="H40" s="10"/>
      <c r="I40" s="874"/>
      <c r="J40" s="877">
        <f>E38-J38</f>
        <v>0</v>
      </c>
      <c r="K40" s="10"/>
      <c r="L40" s="10"/>
      <c r="M40" s="10"/>
      <c r="N40" s="10"/>
      <c r="O40" s="10"/>
    </row>
    <row r="41" spans="1:15" ht="14.25" customHeight="1">
      <c r="A41" s="927" t="str">
        <f>CHOOSE(WEEKDAY(A40,2),"星期一","星期二","星期三","星期四","星期五","星期六","星期日")</f>
        <v>星期二</v>
      </c>
      <c r="B41" s="927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4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4.25" customHeight="1">
      <c r="A43" s="928">
        <f ca="1">NOW()</f>
        <v>38825.56742395833</v>
      </c>
      <c r="B43" s="928"/>
      <c r="C43" s="905"/>
      <c r="D43" s="90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4.2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4.25" customHeight="1">
      <c r="A45" s="904" t="s">
        <v>10</v>
      </c>
      <c r="B45" s="874"/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</row>
    <row r="46" spans="1:15" ht="14.25" customHeight="1">
      <c r="A46" s="903" t="s">
        <v>9</v>
      </c>
      <c r="B46" s="874"/>
      <c r="C46" s="874"/>
      <c r="D46" s="874"/>
      <c r="E46" s="874"/>
      <c r="F46" s="874"/>
      <c r="G46" s="874"/>
      <c r="H46" s="874"/>
      <c r="I46" s="874"/>
      <c r="J46" s="874"/>
      <c r="K46" s="874"/>
      <c r="L46" s="874"/>
      <c r="M46" s="874"/>
      <c r="N46" s="874"/>
      <c r="O46" s="874"/>
    </row>
    <row r="47" spans="1:15" ht="14.25" customHeight="1">
      <c r="A47" s="903"/>
      <c r="B47" s="874"/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</row>
    <row r="48" spans="1:15" ht="14.25" customHeight="1">
      <c r="A48" s="874"/>
      <c r="B48" s="874"/>
      <c r="C48" s="874"/>
      <c r="D48" s="874"/>
      <c r="E48" s="874"/>
      <c r="F48" s="874"/>
      <c r="G48" s="874"/>
      <c r="H48" s="874"/>
      <c r="I48" s="874"/>
      <c r="J48" s="874"/>
      <c r="K48" s="874"/>
      <c r="L48" s="874"/>
      <c r="M48" s="874"/>
      <c r="N48" s="874"/>
      <c r="O48" s="874"/>
    </row>
    <row r="49" spans="1:15" ht="14.25" customHeight="1">
      <c r="A49" s="874"/>
      <c r="B49" s="874"/>
      <c r="C49" s="874"/>
      <c r="D49" s="874"/>
      <c r="E49" s="874"/>
      <c r="F49" s="874"/>
      <c r="G49" s="874"/>
      <c r="H49" s="874"/>
      <c r="I49" s="874"/>
      <c r="J49" s="874"/>
      <c r="K49" s="874"/>
      <c r="L49" s="874"/>
      <c r="M49" s="874"/>
      <c r="N49" s="874"/>
      <c r="O49" s="874"/>
    </row>
    <row r="50" spans="1:15" ht="14.25" customHeight="1">
      <c r="A50" s="874"/>
      <c r="B50" s="874"/>
      <c r="C50" s="874"/>
      <c r="D50" s="874"/>
      <c r="E50" s="874"/>
      <c r="F50" s="874"/>
      <c r="G50" s="874"/>
      <c r="H50" s="874"/>
      <c r="I50" s="874"/>
      <c r="J50" s="874"/>
      <c r="K50" s="874"/>
      <c r="L50" s="874"/>
      <c r="M50" s="874"/>
      <c r="N50" s="874"/>
      <c r="O50" s="874"/>
    </row>
    <row r="51" spans="1:15" ht="14.25" customHeight="1">
      <c r="A51" s="874"/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</row>
    <row r="52" spans="1:15" ht="14.25" customHeight="1">
      <c r="A52" s="874"/>
      <c r="B52" s="874"/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</row>
    <row r="53" spans="1:15" ht="14.25" customHeight="1">
      <c r="A53" s="874"/>
      <c r="B53" s="874"/>
      <c r="C53" s="874"/>
      <c r="D53" s="874"/>
      <c r="E53" s="874"/>
      <c r="F53" s="874"/>
      <c r="G53" s="874"/>
      <c r="H53" s="874"/>
      <c r="I53" s="874"/>
      <c r="J53" s="874"/>
      <c r="K53" s="874"/>
      <c r="L53" s="874"/>
      <c r="M53" s="874"/>
      <c r="N53" s="874"/>
      <c r="O53" s="874"/>
    </row>
    <row r="54" spans="1:15" ht="12">
      <c r="A54" s="874"/>
      <c r="B54" s="874"/>
      <c r="C54" s="874"/>
      <c r="D54" s="874"/>
      <c r="E54" s="874"/>
      <c r="F54" s="874"/>
      <c r="G54" s="874"/>
      <c r="H54" s="874"/>
      <c r="I54" s="874"/>
      <c r="J54" s="874"/>
      <c r="K54" s="874"/>
      <c r="L54" s="874"/>
      <c r="M54" s="874"/>
      <c r="N54" s="874"/>
      <c r="O54" s="874"/>
    </row>
    <row r="55" spans="1:15" ht="12">
      <c r="A55" s="874"/>
      <c r="B55" s="874"/>
      <c r="C55" s="874"/>
      <c r="D55" s="874"/>
      <c r="E55" s="874"/>
      <c r="F55" s="874"/>
      <c r="G55" s="874"/>
      <c r="H55" s="874"/>
      <c r="I55" s="874"/>
      <c r="J55" s="874"/>
      <c r="K55" s="874"/>
      <c r="L55" s="874"/>
      <c r="M55" s="874"/>
      <c r="N55" s="874"/>
      <c r="O55" s="874"/>
    </row>
    <row r="56" spans="1:15" ht="12">
      <c r="A56" s="874"/>
      <c r="B56" s="874"/>
      <c r="C56" s="874"/>
      <c r="D56" s="874"/>
      <c r="E56" s="874"/>
      <c r="F56" s="874"/>
      <c r="G56" s="874"/>
      <c r="H56" s="874"/>
      <c r="I56" s="874"/>
      <c r="J56" s="874"/>
      <c r="K56" s="874"/>
      <c r="L56" s="874"/>
      <c r="M56" s="874"/>
      <c r="N56" s="874"/>
      <c r="O56" s="874"/>
    </row>
    <row r="57" spans="1:15" ht="12">
      <c r="A57" s="874"/>
      <c r="B57" s="874"/>
      <c r="C57" s="874"/>
      <c r="D57" s="874"/>
      <c r="E57" s="874"/>
      <c r="F57" s="874"/>
      <c r="G57" s="874"/>
      <c r="H57" s="874"/>
      <c r="I57" s="874"/>
      <c r="J57" s="874"/>
      <c r="K57" s="874"/>
      <c r="L57" s="874"/>
      <c r="M57" s="874"/>
      <c r="N57" s="874"/>
      <c r="O57" s="874"/>
    </row>
    <row r="58" spans="1:15" ht="12">
      <c r="A58" s="874"/>
      <c r="B58" s="874"/>
      <c r="C58" s="874"/>
      <c r="D58" s="874"/>
      <c r="E58" s="874"/>
      <c r="F58" s="874"/>
      <c r="G58" s="874"/>
      <c r="H58" s="874"/>
      <c r="I58" s="874"/>
      <c r="J58" s="874"/>
      <c r="K58" s="874"/>
      <c r="L58" s="874"/>
      <c r="M58" s="874"/>
      <c r="N58" s="874"/>
      <c r="O58" s="874"/>
    </row>
    <row r="59" spans="1:15" ht="12">
      <c r="A59" s="874"/>
      <c r="B59" s="874"/>
      <c r="C59" s="874"/>
      <c r="D59" s="874"/>
      <c r="E59" s="874"/>
      <c r="F59" s="874"/>
      <c r="G59" s="874"/>
      <c r="H59" s="874"/>
      <c r="I59" s="874"/>
      <c r="J59" s="874"/>
      <c r="K59" s="874"/>
      <c r="L59" s="874"/>
      <c r="M59" s="874"/>
      <c r="N59" s="874"/>
      <c r="O59" s="874"/>
    </row>
    <row r="60" spans="1:15" ht="12">
      <c r="A60" s="874"/>
      <c r="B60" s="874"/>
      <c r="C60" s="874"/>
      <c r="D60" s="874"/>
      <c r="E60" s="874"/>
      <c r="F60" s="874"/>
      <c r="G60" s="874"/>
      <c r="H60" s="874"/>
      <c r="I60" s="874"/>
      <c r="J60" s="874"/>
      <c r="K60" s="874"/>
      <c r="L60" s="874"/>
      <c r="M60" s="874"/>
      <c r="N60" s="874"/>
      <c r="O60" s="874"/>
    </row>
  </sheetData>
  <sheetProtection/>
  <protectedRanges>
    <protectedRange sqref="L2" name="区域1"/>
  </protectedRanges>
  <mergeCells count="8">
    <mergeCell ref="A43:B43"/>
    <mergeCell ref="E4:F4"/>
    <mergeCell ref="A38:B38"/>
    <mergeCell ref="F38:G38"/>
    <mergeCell ref="L7:M7"/>
    <mergeCell ref="L9:M9"/>
    <mergeCell ref="A40:B40"/>
    <mergeCell ref="A41:B41"/>
  </mergeCells>
  <printOptions horizontalCentered="1"/>
  <pageMargins left="0.2" right="0.07874015748031496" top="0.24" bottom="0.2755905511811024" header="0.18" footer="0.1968503937007874"/>
  <pageSetup horizontalDpi="180" verticalDpi="180" orientation="landscape" paperSize="12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/>
  <dimension ref="A1:AL284"/>
  <sheetViews>
    <sheetView workbookViewId="0" topLeftCell="A3">
      <pane xSplit="3" ySplit="5" topLeftCell="D8" activePane="bottomRight" state="frozen"/>
      <selection pane="topLeft" activeCell="A3" sqref="A3"/>
      <selection pane="topRight" activeCell="D3" sqref="D3"/>
      <selection pane="bottomLeft" activeCell="A8" sqref="A8"/>
      <selection pane="bottomRight" activeCell="D14" sqref="D14"/>
    </sheetView>
  </sheetViews>
  <sheetFormatPr defaultColWidth="9.00390625" defaultRowHeight="14.25"/>
  <cols>
    <col min="1" max="1" width="26.875" style="0" customWidth="1"/>
    <col min="3" max="3" width="4.875" style="0" customWidth="1"/>
    <col min="4" max="4" width="14.50390625" style="0" customWidth="1"/>
    <col min="5" max="5" width="1.4921875" style="0" customWidth="1"/>
    <col min="6" max="6" width="14.50390625" style="0" customWidth="1"/>
    <col min="7" max="7" width="1.4921875" style="0" customWidth="1"/>
    <col min="8" max="8" width="14.50390625" style="0" customWidth="1"/>
    <col min="9" max="9" width="1.4921875" style="0" customWidth="1"/>
    <col min="10" max="10" width="14.50390625" style="0" customWidth="1"/>
    <col min="11" max="11" width="1.4921875" style="0" customWidth="1"/>
    <col min="12" max="12" width="14.50390625" style="0" customWidth="1"/>
    <col min="13" max="13" width="1.4921875" style="0" customWidth="1"/>
    <col min="14" max="14" width="14.00390625" style="0" customWidth="1"/>
    <col min="15" max="15" width="1.4921875" style="0" customWidth="1"/>
    <col min="16" max="16" width="14.50390625" style="0" customWidth="1"/>
    <col min="17" max="17" width="1.4921875" style="0" customWidth="1"/>
    <col min="18" max="18" width="14.50390625" style="0" customWidth="1"/>
    <col min="19" max="19" width="1.4921875" style="0" customWidth="1"/>
    <col min="20" max="20" width="14.50390625" style="0" customWidth="1"/>
    <col min="21" max="21" width="1.4921875" style="0" customWidth="1"/>
    <col min="22" max="22" width="14.50390625" style="0" customWidth="1"/>
    <col min="23" max="23" width="1.4921875" style="0" customWidth="1"/>
    <col min="24" max="24" width="14.50390625" style="0" customWidth="1"/>
    <col min="25" max="25" width="1.4921875" style="0" customWidth="1"/>
    <col min="26" max="26" width="14.50390625" style="0" customWidth="1"/>
    <col min="27" max="27" width="1.4921875" style="0" customWidth="1"/>
    <col min="28" max="28" width="14.50390625" style="0" customWidth="1"/>
    <col min="29" max="29" width="1.4921875" style="0" customWidth="1"/>
    <col min="30" max="30" width="14.50390625" style="0" customWidth="1"/>
    <col min="31" max="31" width="1.4921875" style="0" customWidth="1"/>
    <col min="32" max="32" width="14.50390625" style="0" customWidth="1"/>
    <col min="33" max="33" width="1.4921875" style="0" customWidth="1"/>
    <col min="34" max="34" width="14.50390625" style="0" customWidth="1"/>
    <col min="35" max="35" width="1.4921875" style="0" customWidth="1"/>
    <col min="36" max="36" width="14.50390625" style="0" customWidth="1"/>
    <col min="37" max="37" width="1.4921875" style="0" customWidth="1"/>
    <col min="38" max="38" width="14.50390625" style="0" customWidth="1"/>
    <col min="40" max="40" width="40.50390625" style="0" customWidth="1"/>
    <col min="41" max="41" width="13.25390625" style="0" customWidth="1"/>
    <col min="42" max="42" width="15.875" style="0" customWidth="1"/>
  </cols>
  <sheetData>
    <row r="1" spans="1:38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9.5">
      <c r="A2" s="181" t="s">
        <v>789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9.5" thickBot="1">
      <c r="A3" s="182" t="s">
        <v>790</v>
      </c>
      <c r="B3" s="183"/>
      <c r="C3" s="83"/>
      <c r="D3" s="184">
        <v>1</v>
      </c>
      <c r="E3" s="185"/>
      <c r="F3" s="184">
        <v>2</v>
      </c>
      <c r="G3" s="185"/>
      <c r="H3" s="184">
        <v>3</v>
      </c>
      <c r="I3" s="185"/>
      <c r="J3" s="186" t="s">
        <v>791</v>
      </c>
      <c r="K3" s="185"/>
      <c r="L3" s="184">
        <v>4</v>
      </c>
      <c r="M3" s="185"/>
      <c r="N3" s="184">
        <v>5</v>
      </c>
      <c r="O3" s="185"/>
      <c r="P3" s="184">
        <v>6</v>
      </c>
      <c r="Q3" s="185"/>
      <c r="R3" s="186" t="s">
        <v>792</v>
      </c>
      <c r="S3" s="185"/>
      <c r="T3" s="186" t="s">
        <v>793</v>
      </c>
      <c r="U3" s="185"/>
      <c r="V3" s="184">
        <v>7</v>
      </c>
      <c r="W3" s="185"/>
      <c r="X3" s="184">
        <v>8</v>
      </c>
      <c r="Y3" s="185"/>
      <c r="Z3" s="184">
        <v>9</v>
      </c>
      <c r="AA3" s="185"/>
      <c r="AB3" s="186" t="s">
        <v>794</v>
      </c>
      <c r="AC3" s="185"/>
      <c r="AD3" s="186" t="s">
        <v>795</v>
      </c>
      <c r="AE3" s="185"/>
      <c r="AF3" s="186" t="s">
        <v>796</v>
      </c>
      <c r="AG3" s="185"/>
      <c r="AH3" s="184">
        <v>10</v>
      </c>
      <c r="AI3" s="185"/>
      <c r="AJ3" s="184">
        <v>11</v>
      </c>
      <c r="AK3" s="185"/>
      <c r="AL3" s="184">
        <v>12</v>
      </c>
    </row>
    <row r="4" spans="1:38" ht="15" customHeight="1">
      <c r="A4" s="909" t="s">
        <v>797</v>
      </c>
      <c r="B4" s="187"/>
      <c r="C4" s="934" t="s">
        <v>798</v>
      </c>
      <c r="D4" s="188">
        <v>38718</v>
      </c>
      <c r="E4" s="189"/>
      <c r="F4" s="188">
        <v>38749</v>
      </c>
      <c r="G4" s="189"/>
      <c r="H4" s="188">
        <v>38777</v>
      </c>
      <c r="I4" s="190"/>
      <c r="J4" s="191" t="s">
        <v>421</v>
      </c>
      <c r="K4" s="190"/>
      <c r="L4" s="192">
        <v>38808</v>
      </c>
      <c r="M4" s="189"/>
      <c r="N4" s="188">
        <v>38838</v>
      </c>
      <c r="O4" s="190"/>
      <c r="P4" s="192">
        <v>38869</v>
      </c>
      <c r="Q4" s="190"/>
      <c r="R4" s="191" t="s">
        <v>422</v>
      </c>
      <c r="S4" s="190"/>
      <c r="T4" s="191" t="s">
        <v>423</v>
      </c>
      <c r="U4" s="189"/>
      <c r="V4" s="188">
        <v>38899</v>
      </c>
      <c r="W4" s="190"/>
      <c r="X4" s="192">
        <v>38930</v>
      </c>
      <c r="Y4" s="189"/>
      <c r="Z4" s="188">
        <v>38961</v>
      </c>
      <c r="AA4" s="190"/>
      <c r="AB4" s="191" t="s">
        <v>424</v>
      </c>
      <c r="AC4" s="193"/>
      <c r="AD4" s="191" t="s">
        <v>344</v>
      </c>
      <c r="AE4" s="193"/>
      <c r="AF4" s="191" t="s">
        <v>425</v>
      </c>
      <c r="AG4" s="190"/>
      <c r="AH4" s="192">
        <v>38991</v>
      </c>
      <c r="AI4" s="189"/>
      <c r="AJ4" s="188">
        <v>39022</v>
      </c>
      <c r="AK4" s="190"/>
      <c r="AL4" s="192">
        <v>39052</v>
      </c>
    </row>
    <row r="5" spans="1:38" ht="15.75" thickBot="1">
      <c r="A5" s="933"/>
      <c r="B5" s="6"/>
      <c r="C5" s="935"/>
      <c r="D5" s="194" t="s">
        <v>799</v>
      </c>
      <c r="E5" s="195"/>
      <c r="F5" s="194" t="s">
        <v>800</v>
      </c>
      <c r="G5" s="195"/>
      <c r="H5" s="196" t="s">
        <v>801</v>
      </c>
      <c r="I5" s="197"/>
      <c r="J5" s="198" t="s">
        <v>802</v>
      </c>
      <c r="K5" s="197"/>
      <c r="L5" s="199" t="s">
        <v>803</v>
      </c>
      <c r="M5" s="195"/>
      <c r="N5" s="196" t="s">
        <v>804</v>
      </c>
      <c r="O5" s="197"/>
      <c r="P5" s="199" t="s">
        <v>805</v>
      </c>
      <c r="Q5" s="197"/>
      <c r="R5" s="200" t="s">
        <v>806</v>
      </c>
      <c r="S5" s="197"/>
      <c r="T5" s="200" t="s">
        <v>807</v>
      </c>
      <c r="U5" s="195"/>
      <c r="V5" s="196" t="s">
        <v>808</v>
      </c>
      <c r="W5" s="197"/>
      <c r="X5" s="199" t="s">
        <v>287</v>
      </c>
      <c r="Y5" s="195"/>
      <c r="Z5" s="196" t="s">
        <v>288</v>
      </c>
      <c r="AA5" s="197"/>
      <c r="AB5" s="198" t="s">
        <v>289</v>
      </c>
      <c r="AC5" s="201"/>
      <c r="AD5" s="198" t="s">
        <v>290</v>
      </c>
      <c r="AE5" s="201"/>
      <c r="AF5" s="200" t="s">
        <v>291</v>
      </c>
      <c r="AG5" s="197"/>
      <c r="AH5" s="199" t="s">
        <v>292</v>
      </c>
      <c r="AI5" s="195"/>
      <c r="AJ5" s="194" t="s">
        <v>293</v>
      </c>
      <c r="AK5" s="197"/>
      <c r="AL5" s="202" t="s">
        <v>294</v>
      </c>
    </row>
    <row r="6" spans="1:38" ht="12" customHeight="1" thickTop="1">
      <c r="A6" s="936" t="s">
        <v>295</v>
      </c>
      <c r="B6" s="203"/>
      <c r="C6" s="204" t="s">
        <v>296</v>
      </c>
      <c r="D6" s="205" t="s">
        <v>297</v>
      </c>
      <c r="E6" s="3"/>
      <c r="F6" s="205" t="s">
        <v>297</v>
      </c>
      <c r="G6" s="3"/>
      <c r="H6" s="206" t="s">
        <v>297</v>
      </c>
      <c r="I6" s="207"/>
      <c r="J6" s="208" t="s">
        <v>298</v>
      </c>
      <c r="K6" s="207"/>
      <c r="L6" s="205" t="s">
        <v>297</v>
      </c>
      <c r="M6" s="3"/>
      <c r="N6" s="206" t="s">
        <v>297</v>
      </c>
      <c r="O6" s="207"/>
      <c r="P6" s="205" t="s">
        <v>297</v>
      </c>
      <c r="Q6" s="207"/>
      <c r="R6" s="208" t="s">
        <v>298</v>
      </c>
      <c r="S6" s="207"/>
      <c r="T6" s="208" t="s">
        <v>299</v>
      </c>
      <c r="U6" s="3"/>
      <c r="V6" s="206" t="s">
        <v>297</v>
      </c>
      <c r="W6" s="207"/>
      <c r="X6" s="205" t="s">
        <v>297</v>
      </c>
      <c r="Y6" s="3"/>
      <c r="Z6" s="206" t="s">
        <v>297</v>
      </c>
      <c r="AA6" s="207"/>
      <c r="AB6" s="208" t="s">
        <v>298</v>
      </c>
      <c r="AC6" s="209"/>
      <c r="AD6" s="208" t="s">
        <v>298</v>
      </c>
      <c r="AE6" s="209"/>
      <c r="AF6" s="208" t="s">
        <v>300</v>
      </c>
      <c r="AG6" s="207"/>
      <c r="AH6" s="205" t="s">
        <v>297</v>
      </c>
      <c r="AI6" s="3"/>
      <c r="AJ6" s="206" t="s">
        <v>297</v>
      </c>
      <c r="AK6" s="207"/>
      <c r="AL6" s="205" t="s">
        <v>297</v>
      </c>
    </row>
    <row r="7" spans="1:38" ht="12" customHeight="1" thickBot="1">
      <c r="A7" s="937"/>
      <c r="B7" s="210"/>
      <c r="C7" s="211"/>
      <c r="D7" s="212" t="s">
        <v>301</v>
      </c>
      <c r="E7" s="3"/>
      <c r="F7" s="212" t="s">
        <v>301</v>
      </c>
      <c r="G7" s="3"/>
      <c r="H7" s="213" t="s">
        <v>301</v>
      </c>
      <c r="I7" s="207"/>
      <c r="J7" s="214" t="s">
        <v>12</v>
      </c>
      <c r="K7" s="207"/>
      <c r="L7" s="212" t="s">
        <v>301</v>
      </c>
      <c r="M7" s="3"/>
      <c r="N7" s="213" t="s">
        <v>301</v>
      </c>
      <c r="O7" s="207"/>
      <c r="P7" s="212" t="s">
        <v>301</v>
      </c>
      <c r="Q7" s="207"/>
      <c r="R7" s="214" t="s">
        <v>12</v>
      </c>
      <c r="S7" s="207"/>
      <c r="T7" s="214" t="s">
        <v>12</v>
      </c>
      <c r="U7" s="3"/>
      <c r="V7" s="213" t="s">
        <v>301</v>
      </c>
      <c r="W7" s="207"/>
      <c r="X7" s="212" t="s">
        <v>301</v>
      </c>
      <c r="Y7" s="3"/>
      <c r="Z7" s="213" t="s">
        <v>301</v>
      </c>
      <c r="AA7" s="207"/>
      <c r="AB7" s="214" t="s">
        <v>12</v>
      </c>
      <c r="AC7" s="209"/>
      <c r="AD7" s="214" t="s">
        <v>12</v>
      </c>
      <c r="AE7" s="209"/>
      <c r="AF7" s="214" t="s">
        <v>12</v>
      </c>
      <c r="AG7" s="207"/>
      <c r="AH7" s="212" t="s">
        <v>301</v>
      </c>
      <c r="AI7" s="3"/>
      <c r="AJ7" s="213" t="s">
        <v>301</v>
      </c>
      <c r="AK7" s="207"/>
      <c r="AL7" s="212" t="s">
        <v>301</v>
      </c>
    </row>
    <row r="8" spans="1:38" ht="12" customHeight="1" thickTop="1">
      <c r="A8" s="468" t="s">
        <v>302</v>
      </c>
      <c r="B8" s="215"/>
      <c r="C8" s="469">
        <v>1</v>
      </c>
      <c r="D8" s="216">
        <f>'记账凭证汇总'!F119-'记账凭证汇总'!E119</f>
        <v>80000</v>
      </c>
      <c r="E8" s="3"/>
      <c r="F8" s="216">
        <f>'记账凭证汇总'!J119-'记账凭证汇总'!I119</f>
        <v>0</v>
      </c>
      <c r="G8" s="3"/>
      <c r="H8" s="216">
        <f>'记账凭证汇总'!N119-'记账凭证汇总'!M119</f>
        <v>0</v>
      </c>
      <c r="I8" s="207"/>
      <c r="J8" s="217">
        <f>D8+F8+H8</f>
        <v>80000</v>
      </c>
      <c r="K8" s="207"/>
      <c r="L8" s="216">
        <f>'记账凭证汇总'!R119-'记账凭证汇总'!Q119</f>
        <v>0</v>
      </c>
      <c r="M8" s="3"/>
      <c r="N8" s="216">
        <f>'记账凭证汇总'!V119-'记账凭证汇总'!U119</f>
        <v>0</v>
      </c>
      <c r="O8" s="207"/>
      <c r="P8" s="216">
        <f>'记账凭证汇总'!Z119-'记账凭证汇总'!Y119</f>
        <v>0</v>
      </c>
      <c r="Q8" s="207"/>
      <c r="R8" s="217">
        <f>L8+N8+P8</f>
        <v>0</v>
      </c>
      <c r="S8" s="209"/>
      <c r="T8" s="217">
        <f>J8+R8</f>
        <v>80000</v>
      </c>
      <c r="U8" s="3"/>
      <c r="V8" s="216">
        <f>'记账凭证汇总'!AD119-'记账凭证汇总'!AC119</f>
        <v>0</v>
      </c>
      <c r="W8" s="207"/>
      <c r="X8" s="216">
        <f>'记账凭证汇总'!AH119-'记账凭证汇总'!AG119</f>
        <v>0</v>
      </c>
      <c r="Y8" s="3"/>
      <c r="Z8" s="216">
        <f>'记账凭证汇总'!AL119-'记账凭证汇总'!AK119</f>
        <v>0</v>
      </c>
      <c r="AA8" s="207"/>
      <c r="AB8" s="217">
        <f>V8+X8+Z8</f>
        <v>0</v>
      </c>
      <c r="AC8" s="209"/>
      <c r="AD8" s="217">
        <f>AH8+AJ8+AL8</f>
        <v>0</v>
      </c>
      <c r="AE8" s="209"/>
      <c r="AF8" s="217">
        <f>AB8+AD8</f>
        <v>0</v>
      </c>
      <c r="AG8" s="207"/>
      <c r="AH8" s="216">
        <f>'记账凭证汇总'!AP119-'记账凭证汇总'!AO119</f>
        <v>0</v>
      </c>
      <c r="AI8" s="3"/>
      <c r="AJ8" s="216">
        <f>'记账凭证汇总'!AT119-'记账凭证汇总'!AS119</f>
        <v>0</v>
      </c>
      <c r="AK8" s="207"/>
      <c r="AL8" s="216">
        <f>'记账凭证汇总'!AX119-'记账凭证汇总'!AW119</f>
        <v>0</v>
      </c>
    </row>
    <row r="9" spans="1:38" ht="12" customHeight="1">
      <c r="A9" s="470" t="s">
        <v>303</v>
      </c>
      <c r="B9" s="218"/>
      <c r="C9" s="435">
        <v>4</v>
      </c>
      <c r="D9" s="219">
        <f>'记账凭证汇总'!E123-'记账凭证汇总'!F123</f>
        <v>70000</v>
      </c>
      <c r="E9" s="3"/>
      <c r="F9" s="219">
        <f>'记账凭证汇总'!I123-'记账凭证汇总'!J123</f>
        <v>0</v>
      </c>
      <c r="G9" s="3"/>
      <c r="H9" s="219">
        <f>'记账凭证汇总'!M123-'记账凭证汇总'!N123</f>
        <v>0</v>
      </c>
      <c r="I9" s="207"/>
      <c r="J9" s="220">
        <f aca="true" t="shared" si="0" ref="J9:J22">D9+F9+H9</f>
        <v>70000</v>
      </c>
      <c r="K9" s="207"/>
      <c r="L9" s="219">
        <f>'记账凭证汇总'!Q123-'记账凭证汇总'!R123</f>
        <v>0</v>
      </c>
      <c r="M9" s="3"/>
      <c r="N9" s="219">
        <f>'记账凭证汇总'!U123-'记账凭证汇总'!V123</f>
        <v>0</v>
      </c>
      <c r="O9" s="207"/>
      <c r="P9" s="219">
        <f>'记账凭证汇总'!Y123-'记账凭证汇总'!Z123</f>
        <v>0</v>
      </c>
      <c r="Q9" s="207"/>
      <c r="R9" s="220">
        <f aca="true" t="shared" si="1" ref="R9:R22">L9+N9+P9</f>
        <v>0</v>
      </c>
      <c r="S9" s="209"/>
      <c r="T9" s="220">
        <f aca="true" t="shared" si="2" ref="T9:T22">J9+R9</f>
        <v>70000</v>
      </c>
      <c r="U9" s="3"/>
      <c r="V9" s="219">
        <f>'记账凭证汇总'!AC123-'记账凭证汇总'!AD123</f>
        <v>0</v>
      </c>
      <c r="W9" s="207"/>
      <c r="X9" s="219">
        <f>'记账凭证汇总'!AG123-'记账凭证汇总'!AH123</f>
        <v>0</v>
      </c>
      <c r="Y9" s="3"/>
      <c r="Z9" s="219">
        <f>'记账凭证汇总'!AK123-'记账凭证汇总'!AL123</f>
        <v>0</v>
      </c>
      <c r="AA9" s="207"/>
      <c r="AB9" s="220">
        <f aca="true" t="shared" si="3" ref="AB9:AB22">V9+X9+Z9</f>
        <v>0</v>
      </c>
      <c r="AC9" s="209"/>
      <c r="AD9" s="220">
        <f aca="true" t="shared" si="4" ref="AD9:AD22">AH9+AJ9+AL9</f>
        <v>0</v>
      </c>
      <c r="AE9" s="209"/>
      <c r="AF9" s="220">
        <f aca="true" t="shared" si="5" ref="AF9:AF22">AB9+AD9</f>
        <v>0</v>
      </c>
      <c r="AG9" s="207"/>
      <c r="AH9" s="219">
        <f>'记账凭证汇总'!AO123-'记账凭证汇总'!AP123</f>
        <v>0</v>
      </c>
      <c r="AI9" s="3"/>
      <c r="AJ9" s="219">
        <f>'记账凭证汇总'!AS123-'记账凭证汇总'!AT123</f>
        <v>0</v>
      </c>
      <c r="AK9" s="207"/>
      <c r="AL9" s="219">
        <f>'记账凭证汇总'!AW123-'记账凭证汇总'!AX123</f>
        <v>0</v>
      </c>
    </row>
    <row r="10" spans="1:38" ht="12" customHeight="1">
      <c r="A10" s="470" t="s">
        <v>304</v>
      </c>
      <c r="B10" s="218"/>
      <c r="C10" s="435">
        <v>5</v>
      </c>
      <c r="D10" s="219">
        <f>'记账凭证汇总'!E124-'记账凭证汇总'!F124</f>
        <v>0</v>
      </c>
      <c r="E10" s="3"/>
      <c r="F10" s="219">
        <f>'记账凭证汇总'!I124-'记账凭证汇总'!J124</f>
        <v>0</v>
      </c>
      <c r="G10" s="3"/>
      <c r="H10" s="219">
        <f>'记账凭证汇总'!M124-'记账凭证汇总'!N124</f>
        <v>0</v>
      </c>
      <c r="I10" s="207"/>
      <c r="J10" s="220">
        <f t="shared" si="0"/>
        <v>0</v>
      </c>
      <c r="K10" s="207"/>
      <c r="L10" s="219">
        <f>'记账凭证汇总'!Q124-'记账凭证汇总'!R124</f>
        <v>0</v>
      </c>
      <c r="M10" s="3"/>
      <c r="N10" s="219">
        <f>'记账凭证汇总'!U124-'记账凭证汇总'!V124</f>
        <v>0</v>
      </c>
      <c r="O10" s="207"/>
      <c r="P10" s="219">
        <f>'记账凭证汇总'!Y124-'记账凭证汇总'!Z124</f>
        <v>0</v>
      </c>
      <c r="Q10" s="207"/>
      <c r="R10" s="220">
        <f t="shared" si="1"/>
        <v>0</v>
      </c>
      <c r="S10" s="209"/>
      <c r="T10" s="220">
        <f t="shared" si="2"/>
        <v>0</v>
      </c>
      <c r="U10" s="3"/>
      <c r="V10" s="219">
        <f>'记账凭证汇总'!AC124-'记账凭证汇总'!AD124</f>
        <v>0</v>
      </c>
      <c r="W10" s="207"/>
      <c r="X10" s="219">
        <f>'记账凭证汇总'!AG124-'记账凭证汇总'!AH124</f>
        <v>0</v>
      </c>
      <c r="Y10" s="3"/>
      <c r="Z10" s="219">
        <f>'记账凭证汇总'!AK124-'记账凭证汇总'!AL124</f>
        <v>0</v>
      </c>
      <c r="AA10" s="207"/>
      <c r="AB10" s="220">
        <f t="shared" si="3"/>
        <v>0</v>
      </c>
      <c r="AC10" s="209"/>
      <c r="AD10" s="220">
        <f t="shared" si="4"/>
        <v>0</v>
      </c>
      <c r="AE10" s="209"/>
      <c r="AF10" s="220">
        <f t="shared" si="5"/>
        <v>0</v>
      </c>
      <c r="AG10" s="207"/>
      <c r="AH10" s="219">
        <f>'记账凭证汇总'!AO124-'记账凭证汇总'!AP124</f>
        <v>0</v>
      </c>
      <c r="AI10" s="3"/>
      <c r="AJ10" s="219">
        <f>'记账凭证汇总'!AS124-'记账凭证汇总'!AT124</f>
        <v>0</v>
      </c>
      <c r="AK10" s="207"/>
      <c r="AL10" s="219">
        <f>'记账凭证汇总'!AW124-'记账凭证汇总'!AX124</f>
        <v>0</v>
      </c>
    </row>
    <row r="11" spans="1:38" ht="12" customHeight="1">
      <c r="A11" s="470" t="s">
        <v>305</v>
      </c>
      <c r="B11" s="218"/>
      <c r="C11" s="435">
        <v>10</v>
      </c>
      <c r="D11" s="221">
        <f>D8-D9-D10</f>
        <v>10000</v>
      </c>
      <c r="E11" s="3"/>
      <c r="F11" s="221">
        <f>F8-F9-F10</f>
        <v>0</v>
      </c>
      <c r="G11" s="3"/>
      <c r="H11" s="221">
        <f>H8-H9-H10</f>
        <v>0</v>
      </c>
      <c r="I11" s="207"/>
      <c r="J11" s="471">
        <f t="shared" si="0"/>
        <v>10000</v>
      </c>
      <c r="K11" s="207"/>
      <c r="L11" s="221">
        <f>L8-L9-L10</f>
        <v>0</v>
      </c>
      <c r="M11" s="3"/>
      <c r="N11" s="221">
        <f>N8-N9-N10</f>
        <v>0</v>
      </c>
      <c r="O11" s="207"/>
      <c r="P11" s="221">
        <f>P8-P9-P10</f>
        <v>0</v>
      </c>
      <c r="Q11" s="207"/>
      <c r="R11" s="471">
        <f t="shared" si="1"/>
        <v>0</v>
      </c>
      <c r="S11" s="209"/>
      <c r="T11" s="471">
        <f t="shared" si="2"/>
        <v>10000</v>
      </c>
      <c r="U11" s="3"/>
      <c r="V11" s="221">
        <f>V8-V9-V10</f>
        <v>0</v>
      </c>
      <c r="W11" s="207"/>
      <c r="X11" s="221">
        <f>X8-X9-X10</f>
        <v>0</v>
      </c>
      <c r="Y11" s="3"/>
      <c r="Z11" s="221">
        <f>Z8-Z9-Z10</f>
        <v>0</v>
      </c>
      <c r="AA11" s="207"/>
      <c r="AB11" s="471">
        <f t="shared" si="3"/>
        <v>0</v>
      </c>
      <c r="AC11" s="209"/>
      <c r="AD11" s="471">
        <f t="shared" si="4"/>
        <v>0</v>
      </c>
      <c r="AE11" s="209"/>
      <c r="AF11" s="471">
        <f t="shared" si="5"/>
        <v>0</v>
      </c>
      <c r="AG11" s="207"/>
      <c r="AH11" s="221">
        <f>AH8-AH9-AH10</f>
        <v>0</v>
      </c>
      <c r="AI11" s="3"/>
      <c r="AJ11" s="221">
        <f>AJ8-AJ9-AJ10</f>
        <v>0</v>
      </c>
      <c r="AK11" s="207"/>
      <c r="AL11" s="221">
        <f>AL8-AL9-AL10</f>
        <v>0</v>
      </c>
    </row>
    <row r="12" spans="1:38" ht="12" customHeight="1">
      <c r="A12" s="470" t="s">
        <v>306</v>
      </c>
      <c r="B12" s="218"/>
      <c r="C12" s="435">
        <v>11</v>
      </c>
      <c r="D12" s="222">
        <f>'记账凭证汇总'!F120-'记账凭证汇总'!E120-'记账凭证汇总'!E125+'记账凭证汇总'!F125</f>
        <v>0</v>
      </c>
      <c r="E12" s="3"/>
      <c r="F12" s="222">
        <f>'记账凭证汇总'!J120-'记账凭证汇总'!I120-'记账凭证汇总'!I125+'记账凭证汇总'!J125</f>
        <v>0</v>
      </c>
      <c r="G12" s="3"/>
      <c r="H12" s="222">
        <f>'记账凭证汇总'!N120-'记账凭证汇总'!M120-'记账凭证汇总'!M125+'记账凭证汇总'!N125</f>
        <v>0</v>
      </c>
      <c r="I12" s="207"/>
      <c r="J12" s="222">
        <f>J8-J11</f>
        <v>70000</v>
      </c>
      <c r="K12" s="207"/>
      <c r="L12" s="222">
        <f>'记账凭证汇总'!R120-'记账凭证汇总'!Q120-'记账凭证汇总'!Q125+'记账凭证汇总'!R125</f>
        <v>0</v>
      </c>
      <c r="M12" s="3"/>
      <c r="N12" s="222">
        <f>'记账凭证汇总'!V120-'记账凭证汇总'!U120-'记账凭证汇总'!U125+'记账凭证汇总'!V125</f>
        <v>0</v>
      </c>
      <c r="O12" s="207"/>
      <c r="P12" s="222">
        <f>'记账凭证汇总'!Z120-'记账凭证汇总'!Y120-'记账凭证汇总'!Y125+'记账凭证汇总'!Z125</f>
        <v>0</v>
      </c>
      <c r="Q12" s="207"/>
      <c r="R12" s="222">
        <f>R8-R11</f>
        <v>0</v>
      </c>
      <c r="S12" s="209"/>
      <c r="T12" s="222">
        <f>T8-T11</f>
        <v>70000</v>
      </c>
      <c r="U12" s="3"/>
      <c r="V12" s="222">
        <f>'记账凭证汇总'!AD120-'记账凭证汇总'!AC120-'记账凭证汇总'!AC125+'记账凭证汇总'!AD125</f>
        <v>0</v>
      </c>
      <c r="W12" s="207"/>
      <c r="X12" s="222">
        <f>'记账凭证汇总'!AH120-'记账凭证汇总'!AG120-'记账凭证汇总'!AG125+'记账凭证汇总'!AH125</f>
        <v>0</v>
      </c>
      <c r="Y12" s="3"/>
      <c r="Z12" s="222">
        <f>'记账凭证汇总'!AL120-'记账凭证汇总'!AK120-'记账凭证汇总'!AK125+'记账凭证汇总'!AL125</f>
        <v>0</v>
      </c>
      <c r="AA12" s="207"/>
      <c r="AB12" s="222">
        <f>AB8-AB11</f>
        <v>0</v>
      </c>
      <c r="AC12" s="209"/>
      <c r="AD12" s="471">
        <f>AD8-AD11</f>
        <v>0</v>
      </c>
      <c r="AE12" s="209"/>
      <c r="AF12" s="472">
        <f>AF8-AF11</f>
        <v>0</v>
      </c>
      <c r="AG12" s="207"/>
      <c r="AH12" s="222">
        <f>'记账凭证汇总'!AP120-'记账凭证汇总'!AO120-'记账凭证汇总'!AO125+'记账凭证汇总'!AP125</f>
        <v>0</v>
      </c>
      <c r="AI12" s="3"/>
      <c r="AJ12" s="222">
        <f>'记账凭证汇总'!AT120-'记账凭证汇总'!AS120-'记账凭证汇总'!AS125+'记账凭证汇总'!AT125</f>
        <v>0</v>
      </c>
      <c r="AK12" s="207"/>
      <c r="AL12" s="222">
        <f>'记账凭证汇总'!AX120-'记账凭证汇总'!AW120-'记账凭证汇总'!AW125+'记账凭证汇总'!AX125</f>
        <v>0</v>
      </c>
    </row>
    <row r="13" spans="1:38" ht="12" customHeight="1">
      <c r="A13" s="470" t="s">
        <v>307</v>
      </c>
      <c r="B13" s="218"/>
      <c r="C13" s="435">
        <v>14</v>
      </c>
      <c r="D13" s="222">
        <f>'记账凭证汇总'!E126-'记账凭证汇总'!F126</f>
        <v>600</v>
      </c>
      <c r="E13" s="3"/>
      <c r="F13" s="222">
        <f>'记账凭证汇总'!I126-'记账凭证汇总'!J126</f>
        <v>0</v>
      </c>
      <c r="G13" s="3"/>
      <c r="H13" s="222">
        <f>'记账凭证汇总'!M126-'记账凭证汇总'!N126</f>
        <v>0</v>
      </c>
      <c r="I13" s="207"/>
      <c r="J13" s="471">
        <f t="shared" si="0"/>
        <v>600</v>
      </c>
      <c r="K13" s="207"/>
      <c r="L13" s="222">
        <f>'记账凭证汇总'!Q126-'记账凭证汇总'!R126</f>
        <v>0</v>
      </c>
      <c r="M13" s="3"/>
      <c r="N13" s="222">
        <f>'记账凭证汇总'!U126-'记账凭证汇总'!V126</f>
        <v>0</v>
      </c>
      <c r="O13" s="207"/>
      <c r="P13" s="222">
        <f>'记账凭证汇总'!Y126-'记账凭证汇总'!Z126</f>
        <v>0</v>
      </c>
      <c r="Q13" s="207"/>
      <c r="R13" s="471">
        <f t="shared" si="1"/>
        <v>0</v>
      </c>
      <c r="S13" s="209"/>
      <c r="T13" s="471">
        <f t="shared" si="2"/>
        <v>600</v>
      </c>
      <c r="U13" s="3"/>
      <c r="V13" s="222">
        <f>'记账凭证汇总'!AC126-'记账凭证汇总'!AD126</f>
        <v>0</v>
      </c>
      <c r="W13" s="207"/>
      <c r="X13" s="222">
        <f>'记账凭证汇总'!AG126-'记账凭证汇总'!AH126</f>
        <v>0</v>
      </c>
      <c r="Y13" s="3"/>
      <c r="Z13" s="222">
        <f>'记账凭证汇总'!AK126-'记账凭证汇总'!AL126</f>
        <v>0</v>
      </c>
      <c r="AA13" s="207"/>
      <c r="AB13" s="471">
        <f t="shared" si="3"/>
        <v>0</v>
      </c>
      <c r="AC13" s="209"/>
      <c r="AD13" s="471">
        <f t="shared" si="4"/>
        <v>0</v>
      </c>
      <c r="AE13" s="209"/>
      <c r="AF13" s="471">
        <f t="shared" si="5"/>
        <v>0</v>
      </c>
      <c r="AG13" s="207"/>
      <c r="AH13" s="222">
        <f>'记账凭证汇总'!AO126-'记账凭证汇总'!AP126</f>
        <v>0</v>
      </c>
      <c r="AI13" s="3"/>
      <c r="AJ13" s="222">
        <f>'记账凭证汇总'!AS126-'记账凭证汇总'!AT126</f>
        <v>0</v>
      </c>
      <c r="AK13" s="207"/>
      <c r="AL13" s="222">
        <f>'记账凭证汇总'!AW126-'记账凭证汇总'!AX126</f>
        <v>0</v>
      </c>
    </row>
    <row r="14" spans="1:38" ht="12" customHeight="1">
      <c r="A14" s="470" t="s">
        <v>308</v>
      </c>
      <c r="B14" s="218"/>
      <c r="C14" s="435">
        <v>15</v>
      </c>
      <c r="D14" s="222">
        <f>'记账凭证汇总'!E137-'记账凭证汇总'!F137</f>
        <v>7000</v>
      </c>
      <c r="E14" s="3"/>
      <c r="F14" s="222">
        <f>'记账凭证汇总'!I137-'记账凭证汇总'!J137</f>
        <v>0</v>
      </c>
      <c r="G14" s="3"/>
      <c r="H14" s="222">
        <f>'记账凭证汇总'!M137-'记账凭证汇总'!N137</f>
        <v>0</v>
      </c>
      <c r="I14" s="207"/>
      <c r="J14" s="471">
        <f t="shared" si="0"/>
        <v>7000</v>
      </c>
      <c r="K14" s="207"/>
      <c r="L14" s="222">
        <f>'记账凭证汇总'!Q137-'记账凭证汇总'!R137</f>
        <v>0</v>
      </c>
      <c r="M14" s="3"/>
      <c r="N14" s="222">
        <f>'记账凭证汇总'!U137-'记账凭证汇总'!V137</f>
        <v>0</v>
      </c>
      <c r="O14" s="207"/>
      <c r="P14" s="222">
        <f>'记账凭证汇总'!Y137-'记账凭证汇总'!Z137</f>
        <v>0</v>
      </c>
      <c r="Q14" s="207"/>
      <c r="R14" s="471">
        <f t="shared" si="1"/>
        <v>0</v>
      </c>
      <c r="S14" s="209"/>
      <c r="T14" s="471">
        <f t="shared" si="2"/>
        <v>7000</v>
      </c>
      <c r="U14" s="3"/>
      <c r="V14" s="222">
        <f>'记账凭证汇总'!AC137-'记账凭证汇总'!AD137</f>
        <v>0</v>
      </c>
      <c r="W14" s="207"/>
      <c r="X14" s="222">
        <f>'记账凭证汇总'!AG137-'记账凭证汇总'!AH137</f>
        <v>0</v>
      </c>
      <c r="Y14" s="3"/>
      <c r="Z14" s="222">
        <f>'记账凭证汇总'!AK137-'记账凭证汇总'!AL137</f>
        <v>0</v>
      </c>
      <c r="AA14" s="207"/>
      <c r="AB14" s="471">
        <f t="shared" si="3"/>
        <v>0</v>
      </c>
      <c r="AC14" s="209"/>
      <c r="AD14" s="471">
        <f t="shared" si="4"/>
        <v>0</v>
      </c>
      <c r="AE14" s="209"/>
      <c r="AF14" s="471">
        <f t="shared" si="5"/>
        <v>0</v>
      </c>
      <c r="AG14" s="207"/>
      <c r="AH14" s="222">
        <f>'记账凭证汇总'!AO137-'记账凭证汇总'!AP137</f>
        <v>0</v>
      </c>
      <c r="AI14" s="3"/>
      <c r="AJ14" s="222">
        <f>'记账凭证汇总'!AS137-'记账凭证汇总'!AT137</f>
        <v>0</v>
      </c>
      <c r="AK14" s="207"/>
      <c r="AL14" s="222">
        <f>'记账凭证汇总'!AW137-'记账凭证汇总'!AX137</f>
        <v>0</v>
      </c>
    </row>
    <row r="15" spans="1:38" ht="12" customHeight="1">
      <c r="A15" s="470" t="s">
        <v>309</v>
      </c>
      <c r="B15" s="218"/>
      <c r="C15" s="435">
        <v>16</v>
      </c>
      <c r="D15" s="222">
        <f>'记账凭证汇总'!E168-'记账凭证汇总'!F168</f>
        <v>1200</v>
      </c>
      <c r="E15" s="3"/>
      <c r="F15" s="222">
        <f>'记账凭证汇总'!I168-'记账凭证汇总'!J168</f>
        <v>0</v>
      </c>
      <c r="G15" s="3"/>
      <c r="H15" s="222">
        <f>'记账凭证汇总'!M168-'记账凭证汇总'!N168</f>
        <v>0</v>
      </c>
      <c r="I15" s="207"/>
      <c r="J15" s="471">
        <f t="shared" si="0"/>
        <v>1200</v>
      </c>
      <c r="K15" s="207"/>
      <c r="L15" s="222">
        <f>'记账凭证汇总'!Q168-'记账凭证汇总'!R168</f>
        <v>0</v>
      </c>
      <c r="M15" s="3"/>
      <c r="N15" s="222">
        <f>'记账凭证汇总'!U168-'记账凭证汇总'!V168</f>
        <v>0</v>
      </c>
      <c r="O15" s="207"/>
      <c r="P15" s="222">
        <f>'记账凭证汇总'!Y168-'记账凭证汇总'!Z168</f>
        <v>0</v>
      </c>
      <c r="Q15" s="207"/>
      <c r="R15" s="471">
        <f t="shared" si="1"/>
        <v>0</v>
      </c>
      <c r="S15" s="209"/>
      <c r="T15" s="471">
        <f t="shared" si="2"/>
        <v>1200</v>
      </c>
      <c r="U15" s="3"/>
      <c r="V15" s="222">
        <f>'记账凭证汇总'!AC168-'记账凭证汇总'!AD168</f>
        <v>0</v>
      </c>
      <c r="W15" s="207"/>
      <c r="X15" s="222">
        <f>'记账凭证汇总'!AG168-'记账凭证汇总'!AH168</f>
        <v>0</v>
      </c>
      <c r="Y15" s="3"/>
      <c r="Z15" s="222">
        <f>'记账凭证汇总'!AK168-'记账凭证汇总'!AL168</f>
        <v>0</v>
      </c>
      <c r="AA15" s="207"/>
      <c r="AB15" s="471">
        <f t="shared" si="3"/>
        <v>0</v>
      </c>
      <c r="AC15" s="209"/>
      <c r="AD15" s="471">
        <f t="shared" si="4"/>
        <v>0</v>
      </c>
      <c r="AE15" s="209"/>
      <c r="AF15" s="471">
        <f t="shared" si="5"/>
        <v>0</v>
      </c>
      <c r="AG15" s="207"/>
      <c r="AH15" s="222">
        <f>'记账凭证汇总'!AO168-'记账凭证汇总'!AP168</f>
        <v>0</v>
      </c>
      <c r="AI15" s="3"/>
      <c r="AJ15" s="222">
        <f>'记账凭证汇总'!AS168-'记账凭证汇总'!AT168</f>
        <v>0</v>
      </c>
      <c r="AK15" s="207"/>
      <c r="AL15" s="222">
        <f>'记账凭证汇总'!AW168-'记账凭证汇总'!AX168</f>
        <v>0</v>
      </c>
    </row>
    <row r="16" spans="1:38" ht="12" customHeight="1">
      <c r="A16" s="470" t="s">
        <v>310</v>
      </c>
      <c r="B16" s="218"/>
      <c r="C16" s="435">
        <v>18</v>
      </c>
      <c r="D16" s="221">
        <f>D11+D12-D13-D14-D15</f>
        <v>1200</v>
      </c>
      <c r="E16" s="3"/>
      <c r="F16" s="221">
        <f>F11+F12-F13-F14-F15</f>
        <v>0</v>
      </c>
      <c r="G16" s="3"/>
      <c r="H16" s="221">
        <f>H11+H12-H13-H14-H15</f>
        <v>0</v>
      </c>
      <c r="I16" s="207"/>
      <c r="J16" s="471">
        <f t="shared" si="0"/>
        <v>1200</v>
      </c>
      <c r="K16" s="207"/>
      <c r="L16" s="221">
        <f>L11+L12-L13-L14-L15</f>
        <v>0</v>
      </c>
      <c r="M16" s="3"/>
      <c r="N16" s="221">
        <f>N11+N12-N13-N14-N15</f>
        <v>0</v>
      </c>
      <c r="O16" s="207"/>
      <c r="P16" s="221">
        <f>P11+P12-P13-P14-P15</f>
        <v>0</v>
      </c>
      <c r="Q16" s="207"/>
      <c r="R16" s="471">
        <f t="shared" si="1"/>
        <v>0</v>
      </c>
      <c r="S16" s="209"/>
      <c r="T16" s="471">
        <f t="shared" si="2"/>
        <v>1200</v>
      </c>
      <c r="U16" s="3"/>
      <c r="V16" s="221">
        <f>V11+V12-V13-V14-V15</f>
        <v>0</v>
      </c>
      <c r="W16" s="207"/>
      <c r="X16" s="221">
        <f>X11+X12-X13-X14-X15</f>
        <v>0</v>
      </c>
      <c r="Y16" s="3"/>
      <c r="Z16" s="221">
        <f>Z11+Z12-Z13-Z14-Z15</f>
        <v>0</v>
      </c>
      <c r="AA16" s="207"/>
      <c r="AB16" s="471">
        <f t="shared" si="3"/>
        <v>0</v>
      </c>
      <c r="AC16" s="209"/>
      <c r="AD16" s="471">
        <f t="shared" si="4"/>
        <v>0</v>
      </c>
      <c r="AE16" s="209"/>
      <c r="AF16" s="471">
        <f t="shared" si="5"/>
        <v>0</v>
      </c>
      <c r="AG16" s="207"/>
      <c r="AH16" s="221">
        <f>AH11+AH12-AH13-AH14-AH15</f>
        <v>0</v>
      </c>
      <c r="AI16" s="3"/>
      <c r="AJ16" s="221">
        <f>AJ11+AJ12-AJ13-AJ14-AJ15</f>
        <v>0</v>
      </c>
      <c r="AK16" s="207"/>
      <c r="AL16" s="221">
        <f>AL11+AL12-AL13-AL14-AL15</f>
        <v>0</v>
      </c>
    </row>
    <row r="17" spans="1:38" ht="12" customHeight="1">
      <c r="A17" s="470" t="s">
        <v>311</v>
      </c>
      <c r="B17" s="218"/>
      <c r="C17" s="435">
        <v>19</v>
      </c>
      <c r="D17" s="222">
        <f>'记账凭证汇总'!F121-'记账凭证汇总'!E121</f>
        <v>0</v>
      </c>
      <c r="E17" s="3"/>
      <c r="F17" s="222">
        <f>'记账凭证汇总'!J121-'记账凭证汇总'!I121</f>
        <v>0</v>
      </c>
      <c r="G17" s="3"/>
      <c r="H17" s="222">
        <f>'记账凭证汇总'!N121-'记账凭证汇总'!M121</f>
        <v>0</v>
      </c>
      <c r="I17" s="207"/>
      <c r="J17" s="471">
        <f t="shared" si="0"/>
        <v>0</v>
      </c>
      <c r="K17" s="207"/>
      <c r="L17" s="222">
        <f>'记账凭证汇总'!R121-'记账凭证汇总'!Q121</f>
        <v>0</v>
      </c>
      <c r="M17" s="3"/>
      <c r="N17" s="222">
        <f>'记账凭证汇总'!V121-'记账凭证汇总'!U121</f>
        <v>0</v>
      </c>
      <c r="O17" s="207"/>
      <c r="P17" s="222">
        <f>'记账凭证汇总'!Z121-'记账凭证汇总'!Y121</f>
        <v>0</v>
      </c>
      <c r="Q17" s="207"/>
      <c r="R17" s="471">
        <f t="shared" si="1"/>
        <v>0</v>
      </c>
      <c r="S17" s="209"/>
      <c r="T17" s="471">
        <f t="shared" si="2"/>
        <v>0</v>
      </c>
      <c r="U17" s="3"/>
      <c r="V17" s="222">
        <f>'记账凭证汇总'!AD121-'记账凭证汇总'!AC121</f>
        <v>0</v>
      </c>
      <c r="W17" s="207"/>
      <c r="X17" s="222">
        <f>'记账凭证汇总'!AH121-'记账凭证汇总'!AG121</f>
        <v>0</v>
      </c>
      <c r="Y17" s="3"/>
      <c r="Z17" s="222">
        <f>'记账凭证汇总'!AL121-'记账凭证汇总'!AK121</f>
        <v>0</v>
      </c>
      <c r="AA17" s="207"/>
      <c r="AB17" s="471">
        <f t="shared" si="3"/>
        <v>0</v>
      </c>
      <c r="AC17" s="209"/>
      <c r="AD17" s="471">
        <f t="shared" si="4"/>
        <v>0</v>
      </c>
      <c r="AE17" s="209"/>
      <c r="AF17" s="471">
        <f t="shared" si="5"/>
        <v>0</v>
      </c>
      <c r="AG17" s="207"/>
      <c r="AH17" s="222">
        <f>'记账凭证汇总'!AP121-'记账凭证汇总'!AO121</f>
        <v>0</v>
      </c>
      <c r="AI17" s="3"/>
      <c r="AJ17" s="222">
        <f>'记账凭证汇总'!AT121-'记账凭证汇总'!AS121</f>
        <v>0</v>
      </c>
      <c r="AK17" s="207"/>
      <c r="AL17" s="222">
        <f>'记账凭证汇总'!AX121-'记账凭证汇总'!AW121</f>
        <v>0</v>
      </c>
    </row>
    <row r="18" spans="1:38" ht="12" customHeight="1">
      <c r="A18" s="470" t="s">
        <v>312</v>
      </c>
      <c r="B18" s="218"/>
      <c r="C18" s="435">
        <v>23</v>
      </c>
      <c r="D18" s="222">
        <f>'记账凭证汇总'!F122-'记账凭证汇总'!E122</f>
        <v>0</v>
      </c>
      <c r="E18" s="3"/>
      <c r="F18" s="222">
        <f>'记账凭证汇总'!J122-'记账凭证汇总'!I122</f>
        <v>0</v>
      </c>
      <c r="G18" s="3"/>
      <c r="H18" s="222">
        <f>'记账凭证汇总'!N122-'记账凭证汇总'!M122</f>
        <v>0</v>
      </c>
      <c r="I18" s="207"/>
      <c r="J18" s="471">
        <f t="shared" si="0"/>
        <v>0</v>
      </c>
      <c r="K18" s="207"/>
      <c r="L18" s="222">
        <f>'记账凭证汇总'!R122-'记账凭证汇总'!Q122</f>
        <v>0</v>
      </c>
      <c r="M18" s="3"/>
      <c r="N18" s="222">
        <f>'记账凭证汇总'!V122-'记账凭证汇总'!U122</f>
        <v>0</v>
      </c>
      <c r="O18" s="207"/>
      <c r="P18" s="222">
        <f>'记账凭证汇总'!Z122-'记账凭证汇总'!Y122</f>
        <v>0</v>
      </c>
      <c r="Q18" s="207"/>
      <c r="R18" s="471">
        <f t="shared" si="1"/>
        <v>0</v>
      </c>
      <c r="S18" s="209"/>
      <c r="T18" s="471">
        <f t="shared" si="2"/>
        <v>0</v>
      </c>
      <c r="U18" s="3"/>
      <c r="V18" s="222">
        <f>'记账凭证汇总'!AD122-'记账凭证汇总'!AC122</f>
        <v>0</v>
      </c>
      <c r="W18" s="207"/>
      <c r="X18" s="222">
        <f>'记账凭证汇总'!AH122-'记账凭证汇总'!AG122</f>
        <v>0</v>
      </c>
      <c r="Y18" s="3"/>
      <c r="Z18" s="222">
        <f>'记账凭证汇总'!AL122-'记账凭证汇总'!AK122</f>
        <v>0</v>
      </c>
      <c r="AA18" s="207"/>
      <c r="AB18" s="471">
        <f t="shared" si="3"/>
        <v>0</v>
      </c>
      <c r="AC18" s="209"/>
      <c r="AD18" s="471">
        <f t="shared" si="4"/>
        <v>0</v>
      </c>
      <c r="AE18" s="209"/>
      <c r="AF18" s="471">
        <f t="shared" si="5"/>
        <v>0</v>
      </c>
      <c r="AG18" s="207"/>
      <c r="AH18" s="222">
        <f>'记账凭证汇总'!AP122-'记账凭证汇总'!AO122</f>
        <v>0</v>
      </c>
      <c r="AI18" s="3"/>
      <c r="AJ18" s="222">
        <f>'记账凭证汇总'!AT122-'记账凭证汇总'!AS122</f>
        <v>0</v>
      </c>
      <c r="AK18" s="207"/>
      <c r="AL18" s="222">
        <f>'记账凭证汇总'!AX122-'记账凭证汇总'!AW122</f>
        <v>0</v>
      </c>
    </row>
    <row r="19" spans="1:38" ht="12" customHeight="1">
      <c r="A19" s="470" t="s">
        <v>313</v>
      </c>
      <c r="B19" s="218"/>
      <c r="C19" s="435">
        <v>25</v>
      </c>
      <c r="D19" s="222">
        <f>'记账凭证汇总'!E172-'记账凭证汇总'!F172</f>
        <v>0</v>
      </c>
      <c r="E19" s="3"/>
      <c r="F19" s="222">
        <f>'记账凭证汇总'!I172-'记账凭证汇总'!J172</f>
        <v>0</v>
      </c>
      <c r="G19" s="3"/>
      <c r="H19" s="222">
        <f>'记账凭证汇总'!M172-'记账凭证汇总'!N172</f>
        <v>0</v>
      </c>
      <c r="I19" s="207"/>
      <c r="J19" s="471">
        <f t="shared" si="0"/>
        <v>0</v>
      </c>
      <c r="K19" s="207"/>
      <c r="L19" s="222">
        <f>'记账凭证汇总'!Q172-'记账凭证汇总'!R172</f>
        <v>0</v>
      </c>
      <c r="M19" s="3"/>
      <c r="N19" s="222">
        <f>'记账凭证汇总'!U172-'记账凭证汇总'!V172</f>
        <v>0</v>
      </c>
      <c r="O19" s="207"/>
      <c r="P19" s="222">
        <f>'记账凭证汇总'!Y172-'记账凭证汇总'!Z172</f>
        <v>0</v>
      </c>
      <c r="Q19" s="207"/>
      <c r="R19" s="471">
        <f t="shared" si="1"/>
        <v>0</v>
      </c>
      <c r="S19" s="209"/>
      <c r="T19" s="471">
        <f t="shared" si="2"/>
        <v>0</v>
      </c>
      <c r="U19" s="3"/>
      <c r="V19" s="222">
        <f>'记账凭证汇总'!AC172-'记账凭证汇总'!AD172</f>
        <v>0</v>
      </c>
      <c r="W19" s="207"/>
      <c r="X19" s="222">
        <f>'记账凭证汇总'!AG172-'记账凭证汇总'!AH172</f>
        <v>0</v>
      </c>
      <c r="Y19" s="3"/>
      <c r="Z19" s="222">
        <f>'记账凭证汇总'!AK172-'记账凭证汇总'!AL172</f>
        <v>0</v>
      </c>
      <c r="AA19" s="207"/>
      <c r="AB19" s="471">
        <f t="shared" si="3"/>
        <v>0</v>
      </c>
      <c r="AC19" s="209"/>
      <c r="AD19" s="471">
        <f t="shared" si="4"/>
        <v>0</v>
      </c>
      <c r="AE19" s="209"/>
      <c r="AF19" s="471">
        <f t="shared" si="5"/>
        <v>0</v>
      </c>
      <c r="AG19" s="207"/>
      <c r="AH19" s="222">
        <f>'记账凭证汇总'!AO172-'记账凭证汇总'!AP172</f>
        <v>0</v>
      </c>
      <c r="AI19" s="3"/>
      <c r="AJ19" s="222">
        <f>'记账凭证汇总'!AS172-'记账凭证汇总'!AT172</f>
        <v>0</v>
      </c>
      <c r="AK19" s="207"/>
      <c r="AL19" s="222">
        <f>'记账凭证汇总'!AW172-'记账凭证汇总'!AX172</f>
        <v>0</v>
      </c>
    </row>
    <row r="20" spans="1:38" ht="12" customHeight="1">
      <c r="A20" s="470" t="s">
        <v>314</v>
      </c>
      <c r="B20" s="218"/>
      <c r="C20" s="435">
        <v>27</v>
      </c>
      <c r="D20" s="221">
        <f>D16+D17+D18-D19</f>
        <v>1200</v>
      </c>
      <c r="E20" s="3"/>
      <c r="F20" s="221">
        <f>F16+F17+F18-F19</f>
        <v>0</v>
      </c>
      <c r="G20" s="3"/>
      <c r="H20" s="221">
        <f>H16+H17+H18-H19</f>
        <v>0</v>
      </c>
      <c r="I20" s="207"/>
      <c r="J20" s="471">
        <f t="shared" si="0"/>
        <v>1200</v>
      </c>
      <c r="K20" s="207"/>
      <c r="L20" s="221">
        <f>L16+L17+L18-L19</f>
        <v>0</v>
      </c>
      <c r="M20" s="3"/>
      <c r="N20" s="221">
        <f>N16+N17+N18-N19</f>
        <v>0</v>
      </c>
      <c r="O20" s="207"/>
      <c r="P20" s="221">
        <f>P16+P17+P18-P19</f>
        <v>0</v>
      </c>
      <c r="Q20" s="207"/>
      <c r="R20" s="471">
        <f t="shared" si="1"/>
        <v>0</v>
      </c>
      <c r="S20" s="209"/>
      <c r="T20" s="471">
        <f t="shared" si="2"/>
        <v>1200</v>
      </c>
      <c r="U20" s="3"/>
      <c r="V20" s="221">
        <f>V16+V17+V18-V19</f>
        <v>0</v>
      </c>
      <c r="W20" s="207"/>
      <c r="X20" s="221">
        <f>X16+X17+X18-X19</f>
        <v>0</v>
      </c>
      <c r="Y20" s="3"/>
      <c r="Z20" s="221">
        <f>Z16+Z17+Z18-Z19</f>
        <v>0</v>
      </c>
      <c r="AA20" s="207"/>
      <c r="AB20" s="471">
        <f t="shared" si="3"/>
        <v>0</v>
      </c>
      <c r="AC20" s="209"/>
      <c r="AD20" s="471">
        <f t="shared" si="4"/>
        <v>0</v>
      </c>
      <c r="AE20" s="209"/>
      <c r="AF20" s="471">
        <f t="shared" si="5"/>
        <v>0</v>
      </c>
      <c r="AG20" s="207"/>
      <c r="AH20" s="221">
        <f>AH16+AH17+AH18-AH19</f>
        <v>0</v>
      </c>
      <c r="AI20" s="3"/>
      <c r="AJ20" s="221">
        <f>AJ16+AJ17+AJ18-AJ19</f>
        <v>0</v>
      </c>
      <c r="AK20" s="207"/>
      <c r="AL20" s="221">
        <f>AL16+AL17+AL18-AL19</f>
        <v>0</v>
      </c>
    </row>
    <row r="21" spans="1:38" ht="12" customHeight="1">
      <c r="A21" s="470" t="s">
        <v>315</v>
      </c>
      <c r="B21" s="218"/>
      <c r="C21" s="435">
        <v>28</v>
      </c>
      <c r="D21" s="222"/>
      <c r="E21" s="3"/>
      <c r="F21" s="222"/>
      <c r="G21" s="3"/>
      <c r="H21" s="222"/>
      <c r="I21" s="207"/>
      <c r="J21" s="222">
        <f>J12-J13-J15</f>
        <v>68200</v>
      </c>
      <c r="K21" s="207"/>
      <c r="L21" s="222"/>
      <c r="M21" s="3"/>
      <c r="N21" s="222"/>
      <c r="O21" s="207"/>
      <c r="P21" s="222"/>
      <c r="Q21" s="207"/>
      <c r="R21" s="222">
        <f>R12-R13-R15</f>
        <v>0</v>
      </c>
      <c r="S21" s="209"/>
      <c r="T21" s="222">
        <f>T12-T13-T15</f>
        <v>68200</v>
      </c>
      <c r="U21" s="3"/>
      <c r="V21" s="222"/>
      <c r="W21" s="207"/>
      <c r="X21" s="222"/>
      <c r="Y21" s="3"/>
      <c r="Z21" s="222"/>
      <c r="AA21" s="207"/>
      <c r="AB21" s="222">
        <f>AB12-AB13-AB15</f>
        <v>0</v>
      </c>
      <c r="AC21" s="209"/>
      <c r="AD21" s="471">
        <f>AD12-AD13-AD15</f>
        <v>0</v>
      </c>
      <c r="AE21" s="209"/>
      <c r="AF21" s="222">
        <f>AF12-AF13-AF15</f>
        <v>0</v>
      </c>
      <c r="AG21" s="207"/>
      <c r="AH21" s="222"/>
      <c r="AI21" s="3"/>
      <c r="AJ21" s="222"/>
      <c r="AK21" s="207"/>
      <c r="AL21" s="222"/>
    </row>
    <row r="22" spans="1:38" ht="12" customHeight="1" thickBot="1">
      <c r="A22" s="473" t="s">
        <v>316</v>
      </c>
      <c r="B22" s="218"/>
      <c r="C22" s="440">
        <v>30</v>
      </c>
      <c r="D22" s="221">
        <f>D20-D21</f>
        <v>1200</v>
      </c>
      <c r="E22" s="3"/>
      <c r="F22" s="221">
        <f>F20-F21</f>
        <v>0</v>
      </c>
      <c r="G22" s="3"/>
      <c r="H22" s="221">
        <f>H20-H21</f>
        <v>0</v>
      </c>
      <c r="I22" s="207"/>
      <c r="J22" s="471">
        <f t="shared" si="0"/>
        <v>1200</v>
      </c>
      <c r="K22" s="207"/>
      <c r="L22" s="221">
        <f>L20-L21</f>
        <v>0</v>
      </c>
      <c r="M22" s="3"/>
      <c r="N22" s="221">
        <f>N20-N21</f>
        <v>0</v>
      </c>
      <c r="O22" s="207"/>
      <c r="P22" s="221">
        <f>P20-P21</f>
        <v>0</v>
      </c>
      <c r="Q22" s="207"/>
      <c r="R22" s="471">
        <f t="shared" si="1"/>
        <v>0</v>
      </c>
      <c r="S22" s="209"/>
      <c r="T22" s="471">
        <f t="shared" si="2"/>
        <v>1200</v>
      </c>
      <c r="U22" s="3"/>
      <c r="V22" s="221">
        <f>V20-V21</f>
        <v>0</v>
      </c>
      <c r="W22" s="207"/>
      <c r="X22" s="221">
        <f>X20-X21</f>
        <v>0</v>
      </c>
      <c r="Y22" s="3"/>
      <c r="Z22" s="221">
        <f>Z20-Z21</f>
        <v>0</v>
      </c>
      <c r="AA22" s="207"/>
      <c r="AB22" s="471">
        <f t="shared" si="3"/>
        <v>0</v>
      </c>
      <c r="AC22" s="209"/>
      <c r="AD22" s="471">
        <f t="shared" si="4"/>
        <v>0</v>
      </c>
      <c r="AE22" s="209"/>
      <c r="AF22" s="471">
        <f t="shared" si="5"/>
        <v>0</v>
      </c>
      <c r="AG22" s="207"/>
      <c r="AH22" s="221">
        <f>AH20-AH21</f>
        <v>0</v>
      </c>
      <c r="AI22" s="3"/>
      <c r="AJ22" s="221">
        <f>AJ20-AJ21</f>
        <v>0</v>
      </c>
      <c r="AK22" s="207"/>
      <c r="AL22" s="221">
        <f>AL20-AL21</f>
        <v>0</v>
      </c>
    </row>
    <row r="23" spans="1:38" ht="12" customHeight="1">
      <c r="A23" s="224"/>
      <c r="B23" s="224"/>
      <c r="C23" s="224"/>
      <c r="D23" s="474"/>
      <c r="E23" s="3"/>
      <c r="F23" s="474"/>
      <c r="G23" s="3"/>
      <c r="H23" s="474"/>
      <c r="I23" s="3"/>
      <c r="J23" s="474"/>
      <c r="K23" s="3"/>
      <c r="L23" s="474"/>
      <c r="M23" s="3"/>
      <c r="N23" s="474"/>
      <c r="O23" s="3"/>
      <c r="P23" s="474"/>
      <c r="Q23" s="3"/>
      <c r="R23" s="474"/>
      <c r="S23" s="3"/>
      <c r="T23" s="474"/>
      <c r="U23" s="3"/>
      <c r="V23" s="474"/>
      <c r="W23" s="3"/>
      <c r="X23" s="474"/>
      <c r="Y23" s="3"/>
      <c r="Z23" s="474"/>
      <c r="AA23" s="3"/>
      <c r="AB23" s="474"/>
      <c r="AC23" s="3"/>
      <c r="AD23" s="475"/>
      <c r="AE23" s="3"/>
      <c r="AF23" s="474"/>
      <c r="AG23" s="3"/>
      <c r="AH23" s="474"/>
      <c r="AI23" s="3"/>
      <c r="AJ23" s="474"/>
      <c r="AK23" s="3"/>
      <c r="AL23" s="474"/>
    </row>
    <row r="24" spans="1:38" ht="12" customHeight="1" thickBot="1">
      <c r="A24" s="15"/>
      <c r="B24" s="3"/>
      <c r="C24" s="3"/>
      <c r="D24" s="3"/>
      <c r="E24" s="3"/>
      <c r="F24" s="3"/>
      <c r="G24" s="3"/>
      <c r="H24" s="3"/>
      <c r="I24" s="3"/>
      <c r="J24" s="24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241"/>
      <c r="AE24" s="3"/>
      <c r="AF24" s="3"/>
      <c r="AG24" s="3"/>
      <c r="AH24" s="3"/>
      <c r="AI24" s="3"/>
      <c r="AJ24" s="3"/>
      <c r="AK24" s="3"/>
      <c r="AL24" s="3"/>
    </row>
    <row r="25" spans="1:38" ht="13.5" customHeight="1" thickTop="1">
      <c r="A25" s="226" t="s">
        <v>983</v>
      </c>
      <c r="B25" s="187"/>
      <c r="C25" s="227" t="s">
        <v>776</v>
      </c>
      <c r="D25" s="205" t="s">
        <v>984</v>
      </c>
      <c r="E25" s="228"/>
      <c r="F25" s="205" t="s">
        <v>984</v>
      </c>
      <c r="G25" s="229"/>
      <c r="H25" s="230" t="s">
        <v>984</v>
      </c>
      <c r="I25" s="189"/>
      <c r="J25" s="231" t="s">
        <v>985</v>
      </c>
      <c r="K25" s="189"/>
      <c r="L25" s="205" t="s">
        <v>984</v>
      </c>
      <c r="M25" s="229"/>
      <c r="N25" s="230" t="s">
        <v>984</v>
      </c>
      <c r="O25" s="189"/>
      <c r="P25" s="205" t="s">
        <v>984</v>
      </c>
      <c r="Q25" s="189"/>
      <c r="R25" s="231" t="s">
        <v>985</v>
      </c>
      <c r="S25" s="232"/>
      <c r="T25" s="231" t="s">
        <v>985</v>
      </c>
      <c r="U25" s="229"/>
      <c r="V25" s="230" t="s">
        <v>984</v>
      </c>
      <c r="W25" s="189"/>
      <c r="X25" s="205" t="s">
        <v>984</v>
      </c>
      <c r="Y25" s="229"/>
      <c r="Z25" s="230" t="s">
        <v>984</v>
      </c>
      <c r="AA25" s="189"/>
      <c r="AB25" s="231" t="s">
        <v>985</v>
      </c>
      <c r="AC25" s="189"/>
      <c r="AD25" s="231" t="s">
        <v>985</v>
      </c>
      <c r="AE25" s="189"/>
      <c r="AF25" s="231" t="s">
        <v>985</v>
      </c>
      <c r="AG25" s="189"/>
      <c r="AH25" s="205" t="s">
        <v>984</v>
      </c>
      <c r="AI25" s="229"/>
      <c r="AJ25" s="230" t="s">
        <v>984</v>
      </c>
      <c r="AK25" s="189"/>
      <c r="AL25" s="205" t="s">
        <v>984</v>
      </c>
    </row>
    <row r="26" spans="1:38" ht="12" customHeight="1" thickBot="1">
      <c r="A26" s="233" t="s">
        <v>38</v>
      </c>
      <c r="B26" s="210"/>
      <c r="C26" s="476" t="s">
        <v>317</v>
      </c>
      <c r="D26" s="234" t="s">
        <v>986</v>
      </c>
      <c r="E26" s="228"/>
      <c r="F26" s="234" t="s">
        <v>986</v>
      </c>
      <c r="G26" s="229"/>
      <c r="H26" s="235" t="s">
        <v>986</v>
      </c>
      <c r="I26" s="189"/>
      <c r="J26" s="236" t="s">
        <v>986</v>
      </c>
      <c r="K26" s="189"/>
      <c r="L26" s="234" t="s">
        <v>986</v>
      </c>
      <c r="M26" s="229"/>
      <c r="N26" s="235" t="s">
        <v>986</v>
      </c>
      <c r="O26" s="189"/>
      <c r="P26" s="234" t="s">
        <v>986</v>
      </c>
      <c r="Q26" s="189"/>
      <c r="R26" s="236" t="s">
        <v>986</v>
      </c>
      <c r="S26" s="232"/>
      <c r="T26" s="236" t="s">
        <v>986</v>
      </c>
      <c r="U26" s="229"/>
      <c r="V26" s="235" t="s">
        <v>986</v>
      </c>
      <c r="W26" s="189"/>
      <c r="X26" s="234" t="s">
        <v>986</v>
      </c>
      <c r="Y26" s="229"/>
      <c r="Z26" s="235" t="s">
        <v>986</v>
      </c>
      <c r="AA26" s="189"/>
      <c r="AB26" s="236" t="s">
        <v>986</v>
      </c>
      <c r="AC26" s="189"/>
      <c r="AD26" s="236" t="s">
        <v>986</v>
      </c>
      <c r="AE26" s="189"/>
      <c r="AF26" s="236" t="s">
        <v>986</v>
      </c>
      <c r="AG26" s="189"/>
      <c r="AH26" s="234" t="s">
        <v>986</v>
      </c>
      <c r="AI26" s="229"/>
      <c r="AJ26" s="235" t="s">
        <v>986</v>
      </c>
      <c r="AK26" s="189"/>
      <c r="AL26" s="234" t="s">
        <v>986</v>
      </c>
    </row>
    <row r="27" spans="1:38" ht="12" customHeight="1" thickTop="1">
      <c r="A27" s="468" t="s">
        <v>318</v>
      </c>
      <c r="B27" s="215"/>
      <c r="C27" s="469">
        <v>1</v>
      </c>
      <c r="D27" s="237">
        <f aca="true" t="shared" si="6" ref="D27:D41">D8</f>
        <v>80000</v>
      </c>
      <c r="E27" s="6"/>
      <c r="F27" s="237">
        <f aca="true" t="shared" si="7" ref="F27:F41">D27+F8</f>
        <v>80000</v>
      </c>
      <c r="G27" s="238"/>
      <c r="H27" s="239">
        <f aca="true" t="shared" si="8" ref="H27:H41">F27+H8</f>
        <v>80000</v>
      </c>
      <c r="I27" s="3"/>
      <c r="J27" s="240">
        <f>H27</f>
        <v>80000</v>
      </c>
      <c r="K27" s="3"/>
      <c r="L27" s="237">
        <f aca="true" t="shared" si="9" ref="L27:L41">H27+L8</f>
        <v>80000</v>
      </c>
      <c r="M27" s="238"/>
      <c r="N27" s="237">
        <f aca="true" t="shared" si="10" ref="N27:N41">L27+N8</f>
        <v>80000</v>
      </c>
      <c r="O27" s="3"/>
      <c r="P27" s="237">
        <f aca="true" t="shared" si="11" ref="P27:P41">N27+P8</f>
        <v>80000</v>
      </c>
      <c r="Q27" s="3"/>
      <c r="R27" s="217">
        <f>P27</f>
        <v>80000</v>
      </c>
      <c r="S27" s="241"/>
      <c r="T27" s="240">
        <f>R27</f>
        <v>80000</v>
      </c>
      <c r="U27" s="238"/>
      <c r="V27" s="237">
        <f aca="true" t="shared" si="12" ref="V27:V41">P27+V8</f>
        <v>80000</v>
      </c>
      <c r="W27" s="3"/>
      <c r="X27" s="237">
        <f aca="true" t="shared" si="13" ref="X27:X41">V27+X8</f>
        <v>80000</v>
      </c>
      <c r="Y27" s="238"/>
      <c r="Z27" s="237">
        <f aca="true" t="shared" si="14" ref="Z27:Z41">X27+Z8</f>
        <v>80000</v>
      </c>
      <c r="AA27" s="3"/>
      <c r="AB27" s="240">
        <f>Z27</f>
        <v>80000</v>
      </c>
      <c r="AC27" s="241"/>
      <c r="AD27" s="240">
        <f>AL27</f>
        <v>80000</v>
      </c>
      <c r="AE27" s="241"/>
      <c r="AF27" s="240">
        <f>AD27</f>
        <v>80000</v>
      </c>
      <c r="AG27" s="3"/>
      <c r="AH27" s="237">
        <f aca="true" t="shared" si="15" ref="AH27:AH41">Z27+AH8</f>
        <v>80000</v>
      </c>
      <c r="AI27" s="238"/>
      <c r="AJ27" s="237">
        <f aca="true" t="shared" si="16" ref="AJ27:AJ41">AH27+AJ8</f>
        <v>80000</v>
      </c>
      <c r="AK27" s="3"/>
      <c r="AL27" s="237">
        <f aca="true" t="shared" si="17" ref="AL27:AL41">AJ27+AL8</f>
        <v>80000</v>
      </c>
    </row>
    <row r="28" spans="1:38" ht="12" customHeight="1">
      <c r="A28" s="470" t="s">
        <v>319</v>
      </c>
      <c r="B28" s="218"/>
      <c r="C28" s="435">
        <v>4</v>
      </c>
      <c r="D28" s="242">
        <f t="shared" si="6"/>
        <v>70000</v>
      </c>
      <c r="E28" s="6"/>
      <c r="F28" s="242">
        <f t="shared" si="7"/>
        <v>70000</v>
      </c>
      <c r="G28" s="238"/>
      <c r="H28" s="242">
        <f t="shared" si="8"/>
        <v>70000</v>
      </c>
      <c r="I28" s="3"/>
      <c r="J28" s="243">
        <f>H28</f>
        <v>70000</v>
      </c>
      <c r="K28" s="3"/>
      <c r="L28" s="242">
        <f t="shared" si="9"/>
        <v>70000</v>
      </c>
      <c r="M28" s="238"/>
      <c r="N28" s="242">
        <f t="shared" si="10"/>
        <v>70000</v>
      </c>
      <c r="O28" s="3"/>
      <c r="P28" s="242">
        <f t="shared" si="11"/>
        <v>70000</v>
      </c>
      <c r="Q28" s="3"/>
      <c r="R28" s="220">
        <f aca="true" t="shared" si="18" ref="R28:R41">P28</f>
        <v>70000</v>
      </c>
      <c r="S28" s="241"/>
      <c r="T28" s="243">
        <f aca="true" t="shared" si="19" ref="T28:T41">R28</f>
        <v>70000</v>
      </c>
      <c r="U28" s="238"/>
      <c r="V28" s="242">
        <f t="shared" si="12"/>
        <v>70000</v>
      </c>
      <c r="W28" s="3"/>
      <c r="X28" s="242">
        <f t="shared" si="13"/>
        <v>70000</v>
      </c>
      <c r="Y28" s="238"/>
      <c r="Z28" s="242">
        <f t="shared" si="14"/>
        <v>70000</v>
      </c>
      <c r="AA28" s="3"/>
      <c r="AB28" s="243">
        <f aca="true" t="shared" si="20" ref="AB28:AB41">Z28</f>
        <v>70000</v>
      </c>
      <c r="AC28" s="241"/>
      <c r="AD28" s="243">
        <f aca="true" t="shared" si="21" ref="AD28:AD41">AL28</f>
        <v>70000</v>
      </c>
      <c r="AE28" s="241"/>
      <c r="AF28" s="243">
        <f aca="true" t="shared" si="22" ref="AF28:AF41">AD28</f>
        <v>70000</v>
      </c>
      <c r="AG28" s="3"/>
      <c r="AH28" s="242">
        <f t="shared" si="15"/>
        <v>70000</v>
      </c>
      <c r="AI28" s="238"/>
      <c r="AJ28" s="242">
        <f t="shared" si="16"/>
        <v>70000</v>
      </c>
      <c r="AK28" s="3"/>
      <c r="AL28" s="242">
        <f t="shared" si="17"/>
        <v>70000</v>
      </c>
    </row>
    <row r="29" spans="1:38" ht="12" customHeight="1">
      <c r="A29" s="470" t="s">
        <v>320</v>
      </c>
      <c r="B29" s="218"/>
      <c r="C29" s="435">
        <v>5</v>
      </c>
      <c r="D29" s="242">
        <f t="shared" si="6"/>
        <v>0</v>
      </c>
      <c r="E29" s="6"/>
      <c r="F29" s="242">
        <f t="shared" si="7"/>
        <v>0</v>
      </c>
      <c r="G29" s="238"/>
      <c r="H29" s="242">
        <f t="shared" si="8"/>
        <v>0</v>
      </c>
      <c r="I29" s="3"/>
      <c r="J29" s="243">
        <f aca="true" t="shared" si="23" ref="J29:J41">H29</f>
        <v>0</v>
      </c>
      <c r="K29" s="3"/>
      <c r="L29" s="242">
        <f t="shared" si="9"/>
        <v>0</v>
      </c>
      <c r="M29" s="238"/>
      <c r="N29" s="242">
        <f t="shared" si="10"/>
        <v>0</v>
      </c>
      <c r="O29" s="3"/>
      <c r="P29" s="242">
        <f t="shared" si="11"/>
        <v>0</v>
      </c>
      <c r="Q29" s="3"/>
      <c r="R29" s="220">
        <f t="shared" si="18"/>
        <v>0</v>
      </c>
      <c r="S29" s="241"/>
      <c r="T29" s="243">
        <f t="shared" si="19"/>
        <v>0</v>
      </c>
      <c r="U29" s="238"/>
      <c r="V29" s="242">
        <f t="shared" si="12"/>
        <v>0</v>
      </c>
      <c r="W29" s="3"/>
      <c r="X29" s="242">
        <f t="shared" si="13"/>
        <v>0</v>
      </c>
      <c r="Y29" s="238"/>
      <c r="Z29" s="242">
        <f t="shared" si="14"/>
        <v>0</v>
      </c>
      <c r="AA29" s="3"/>
      <c r="AB29" s="243">
        <f t="shared" si="20"/>
        <v>0</v>
      </c>
      <c r="AC29" s="241"/>
      <c r="AD29" s="243">
        <f t="shared" si="21"/>
        <v>0</v>
      </c>
      <c r="AE29" s="241"/>
      <c r="AF29" s="243">
        <f t="shared" si="22"/>
        <v>0</v>
      </c>
      <c r="AG29" s="3"/>
      <c r="AH29" s="242">
        <f t="shared" si="15"/>
        <v>0</v>
      </c>
      <c r="AI29" s="238"/>
      <c r="AJ29" s="242">
        <f t="shared" si="16"/>
        <v>0</v>
      </c>
      <c r="AK29" s="3"/>
      <c r="AL29" s="242">
        <f t="shared" si="17"/>
        <v>0</v>
      </c>
    </row>
    <row r="30" spans="1:38" ht="12" customHeight="1">
      <c r="A30" s="470" t="s">
        <v>321</v>
      </c>
      <c r="B30" s="218"/>
      <c r="C30" s="435">
        <v>10</v>
      </c>
      <c r="D30" s="242">
        <f t="shared" si="6"/>
        <v>10000</v>
      </c>
      <c r="E30" s="6"/>
      <c r="F30" s="242">
        <f t="shared" si="7"/>
        <v>10000</v>
      </c>
      <c r="G30" s="238"/>
      <c r="H30" s="242">
        <f t="shared" si="8"/>
        <v>10000</v>
      </c>
      <c r="I30" s="3"/>
      <c r="J30" s="243">
        <f t="shared" si="23"/>
        <v>10000</v>
      </c>
      <c r="K30" s="3"/>
      <c r="L30" s="242">
        <f t="shared" si="9"/>
        <v>10000</v>
      </c>
      <c r="M30" s="238"/>
      <c r="N30" s="242">
        <f t="shared" si="10"/>
        <v>10000</v>
      </c>
      <c r="O30" s="3"/>
      <c r="P30" s="242">
        <f t="shared" si="11"/>
        <v>10000</v>
      </c>
      <c r="Q30" s="3"/>
      <c r="R30" s="220">
        <f t="shared" si="18"/>
        <v>10000</v>
      </c>
      <c r="S30" s="241"/>
      <c r="T30" s="243">
        <f t="shared" si="19"/>
        <v>10000</v>
      </c>
      <c r="U30" s="238"/>
      <c r="V30" s="242">
        <f t="shared" si="12"/>
        <v>10000</v>
      </c>
      <c r="W30" s="3"/>
      <c r="X30" s="242">
        <f t="shared" si="13"/>
        <v>10000</v>
      </c>
      <c r="Y30" s="238"/>
      <c r="Z30" s="242">
        <f t="shared" si="14"/>
        <v>10000</v>
      </c>
      <c r="AA30" s="3"/>
      <c r="AB30" s="243">
        <f t="shared" si="20"/>
        <v>10000</v>
      </c>
      <c r="AC30" s="241"/>
      <c r="AD30" s="243">
        <f t="shared" si="21"/>
        <v>10000</v>
      </c>
      <c r="AE30" s="241"/>
      <c r="AF30" s="243">
        <f t="shared" si="22"/>
        <v>10000</v>
      </c>
      <c r="AG30" s="3"/>
      <c r="AH30" s="242">
        <f t="shared" si="15"/>
        <v>10000</v>
      </c>
      <c r="AI30" s="238"/>
      <c r="AJ30" s="242">
        <f t="shared" si="16"/>
        <v>10000</v>
      </c>
      <c r="AK30" s="3"/>
      <c r="AL30" s="242">
        <f t="shared" si="17"/>
        <v>10000</v>
      </c>
    </row>
    <row r="31" spans="1:38" ht="12" customHeight="1">
      <c r="A31" s="470" t="s">
        <v>322</v>
      </c>
      <c r="B31" s="218"/>
      <c r="C31" s="435">
        <v>11</v>
      </c>
      <c r="D31" s="242">
        <f t="shared" si="6"/>
        <v>0</v>
      </c>
      <c r="E31" s="6"/>
      <c r="F31" s="242">
        <f t="shared" si="7"/>
        <v>0</v>
      </c>
      <c r="G31" s="238"/>
      <c r="H31" s="242">
        <f t="shared" si="8"/>
        <v>0</v>
      </c>
      <c r="I31" s="3"/>
      <c r="J31" s="243">
        <f t="shared" si="23"/>
        <v>0</v>
      </c>
      <c r="K31" s="3"/>
      <c r="L31" s="242">
        <f t="shared" si="9"/>
        <v>0</v>
      </c>
      <c r="M31" s="238"/>
      <c r="N31" s="242">
        <f t="shared" si="10"/>
        <v>0</v>
      </c>
      <c r="O31" s="3"/>
      <c r="P31" s="242">
        <f t="shared" si="11"/>
        <v>0</v>
      </c>
      <c r="Q31" s="3"/>
      <c r="R31" s="220">
        <f t="shared" si="18"/>
        <v>0</v>
      </c>
      <c r="S31" s="241"/>
      <c r="T31" s="243">
        <f t="shared" si="19"/>
        <v>0</v>
      </c>
      <c r="U31" s="238"/>
      <c r="V31" s="242">
        <f t="shared" si="12"/>
        <v>0</v>
      </c>
      <c r="W31" s="3"/>
      <c r="X31" s="242">
        <f t="shared" si="13"/>
        <v>0</v>
      </c>
      <c r="Y31" s="238"/>
      <c r="Z31" s="242">
        <f t="shared" si="14"/>
        <v>0</v>
      </c>
      <c r="AA31" s="3"/>
      <c r="AB31" s="243">
        <f t="shared" si="20"/>
        <v>0</v>
      </c>
      <c r="AC31" s="241"/>
      <c r="AD31" s="243">
        <f t="shared" si="21"/>
        <v>0</v>
      </c>
      <c r="AE31" s="241"/>
      <c r="AF31" s="243">
        <f t="shared" si="22"/>
        <v>0</v>
      </c>
      <c r="AG31" s="3"/>
      <c r="AH31" s="242">
        <f t="shared" si="15"/>
        <v>0</v>
      </c>
      <c r="AI31" s="238"/>
      <c r="AJ31" s="242">
        <f t="shared" si="16"/>
        <v>0</v>
      </c>
      <c r="AK31" s="3"/>
      <c r="AL31" s="242">
        <f t="shared" si="17"/>
        <v>0</v>
      </c>
    </row>
    <row r="32" spans="1:38" ht="12" customHeight="1">
      <c r="A32" s="470" t="s">
        <v>323</v>
      </c>
      <c r="B32" s="218"/>
      <c r="C32" s="435">
        <v>14</v>
      </c>
      <c r="D32" s="242">
        <f t="shared" si="6"/>
        <v>600</v>
      </c>
      <c r="E32" s="6"/>
      <c r="F32" s="242">
        <f t="shared" si="7"/>
        <v>600</v>
      </c>
      <c r="G32" s="238"/>
      <c r="H32" s="242">
        <f t="shared" si="8"/>
        <v>600</v>
      </c>
      <c r="I32" s="3"/>
      <c r="J32" s="243">
        <f t="shared" si="23"/>
        <v>600</v>
      </c>
      <c r="K32" s="3"/>
      <c r="L32" s="242">
        <f t="shared" si="9"/>
        <v>600</v>
      </c>
      <c r="M32" s="238"/>
      <c r="N32" s="242">
        <f t="shared" si="10"/>
        <v>600</v>
      </c>
      <c r="O32" s="3"/>
      <c r="P32" s="242">
        <f t="shared" si="11"/>
        <v>600</v>
      </c>
      <c r="Q32" s="3"/>
      <c r="R32" s="220">
        <f t="shared" si="18"/>
        <v>600</v>
      </c>
      <c r="S32" s="241"/>
      <c r="T32" s="243">
        <f t="shared" si="19"/>
        <v>600</v>
      </c>
      <c r="U32" s="238"/>
      <c r="V32" s="242">
        <f t="shared" si="12"/>
        <v>600</v>
      </c>
      <c r="W32" s="3"/>
      <c r="X32" s="242">
        <f t="shared" si="13"/>
        <v>600</v>
      </c>
      <c r="Y32" s="238"/>
      <c r="Z32" s="242">
        <f t="shared" si="14"/>
        <v>600</v>
      </c>
      <c r="AA32" s="3"/>
      <c r="AB32" s="243">
        <f t="shared" si="20"/>
        <v>600</v>
      </c>
      <c r="AC32" s="241"/>
      <c r="AD32" s="243">
        <f t="shared" si="21"/>
        <v>600</v>
      </c>
      <c r="AE32" s="241"/>
      <c r="AF32" s="243">
        <f t="shared" si="22"/>
        <v>600</v>
      </c>
      <c r="AG32" s="3"/>
      <c r="AH32" s="242">
        <f t="shared" si="15"/>
        <v>600</v>
      </c>
      <c r="AI32" s="238"/>
      <c r="AJ32" s="242">
        <f t="shared" si="16"/>
        <v>600</v>
      </c>
      <c r="AK32" s="3"/>
      <c r="AL32" s="242">
        <f t="shared" si="17"/>
        <v>600</v>
      </c>
    </row>
    <row r="33" spans="1:38" ht="12" customHeight="1">
      <c r="A33" s="470" t="s">
        <v>324</v>
      </c>
      <c r="B33" s="218"/>
      <c r="C33" s="435">
        <v>15</v>
      </c>
      <c r="D33" s="242">
        <f t="shared" si="6"/>
        <v>7000</v>
      </c>
      <c r="E33" s="6"/>
      <c r="F33" s="242">
        <f t="shared" si="7"/>
        <v>7000</v>
      </c>
      <c r="G33" s="238"/>
      <c r="H33" s="242">
        <f t="shared" si="8"/>
        <v>7000</v>
      </c>
      <c r="I33" s="3"/>
      <c r="J33" s="243">
        <f t="shared" si="23"/>
        <v>7000</v>
      </c>
      <c r="K33" s="3"/>
      <c r="L33" s="242">
        <f t="shared" si="9"/>
        <v>7000</v>
      </c>
      <c r="M33" s="238"/>
      <c r="N33" s="242">
        <f t="shared" si="10"/>
        <v>7000</v>
      </c>
      <c r="O33" s="3"/>
      <c r="P33" s="242">
        <f t="shared" si="11"/>
        <v>7000</v>
      </c>
      <c r="Q33" s="3"/>
      <c r="R33" s="220">
        <f t="shared" si="18"/>
        <v>7000</v>
      </c>
      <c r="S33" s="241"/>
      <c r="T33" s="243">
        <f t="shared" si="19"/>
        <v>7000</v>
      </c>
      <c r="U33" s="238"/>
      <c r="V33" s="242">
        <f t="shared" si="12"/>
        <v>7000</v>
      </c>
      <c r="W33" s="3"/>
      <c r="X33" s="242">
        <f t="shared" si="13"/>
        <v>7000</v>
      </c>
      <c r="Y33" s="238"/>
      <c r="Z33" s="242">
        <f t="shared" si="14"/>
        <v>7000</v>
      </c>
      <c r="AA33" s="3"/>
      <c r="AB33" s="243">
        <f t="shared" si="20"/>
        <v>7000</v>
      </c>
      <c r="AC33" s="241"/>
      <c r="AD33" s="243">
        <f t="shared" si="21"/>
        <v>7000</v>
      </c>
      <c r="AE33" s="241"/>
      <c r="AF33" s="243">
        <f t="shared" si="22"/>
        <v>7000</v>
      </c>
      <c r="AG33" s="3"/>
      <c r="AH33" s="242">
        <f t="shared" si="15"/>
        <v>7000</v>
      </c>
      <c r="AI33" s="238"/>
      <c r="AJ33" s="242">
        <f t="shared" si="16"/>
        <v>7000</v>
      </c>
      <c r="AK33" s="3"/>
      <c r="AL33" s="242">
        <f t="shared" si="17"/>
        <v>7000</v>
      </c>
    </row>
    <row r="34" spans="1:38" ht="12" customHeight="1">
      <c r="A34" s="470" t="s">
        <v>325</v>
      </c>
      <c r="B34" s="218"/>
      <c r="C34" s="435">
        <v>16</v>
      </c>
      <c r="D34" s="242">
        <f t="shared" si="6"/>
        <v>1200</v>
      </c>
      <c r="E34" s="6"/>
      <c r="F34" s="242">
        <f t="shared" si="7"/>
        <v>1200</v>
      </c>
      <c r="G34" s="238"/>
      <c r="H34" s="242">
        <f t="shared" si="8"/>
        <v>1200</v>
      </c>
      <c r="I34" s="3"/>
      <c r="J34" s="243">
        <f t="shared" si="23"/>
        <v>1200</v>
      </c>
      <c r="K34" s="3"/>
      <c r="L34" s="242">
        <f t="shared" si="9"/>
        <v>1200</v>
      </c>
      <c r="M34" s="238"/>
      <c r="N34" s="242">
        <f t="shared" si="10"/>
        <v>1200</v>
      </c>
      <c r="O34" s="3"/>
      <c r="P34" s="242">
        <f t="shared" si="11"/>
        <v>1200</v>
      </c>
      <c r="Q34" s="3"/>
      <c r="R34" s="220">
        <f t="shared" si="18"/>
        <v>1200</v>
      </c>
      <c r="S34" s="241"/>
      <c r="T34" s="243">
        <f t="shared" si="19"/>
        <v>1200</v>
      </c>
      <c r="U34" s="238"/>
      <c r="V34" s="242">
        <f t="shared" si="12"/>
        <v>1200</v>
      </c>
      <c r="W34" s="3"/>
      <c r="X34" s="242">
        <f t="shared" si="13"/>
        <v>1200</v>
      </c>
      <c r="Y34" s="238"/>
      <c r="Z34" s="242">
        <f t="shared" si="14"/>
        <v>1200</v>
      </c>
      <c r="AA34" s="3"/>
      <c r="AB34" s="243">
        <f t="shared" si="20"/>
        <v>1200</v>
      </c>
      <c r="AC34" s="241"/>
      <c r="AD34" s="243">
        <f t="shared" si="21"/>
        <v>1200</v>
      </c>
      <c r="AE34" s="241"/>
      <c r="AF34" s="243">
        <f t="shared" si="22"/>
        <v>1200</v>
      </c>
      <c r="AG34" s="3"/>
      <c r="AH34" s="242">
        <f t="shared" si="15"/>
        <v>1200</v>
      </c>
      <c r="AI34" s="238"/>
      <c r="AJ34" s="242">
        <f t="shared" si="16"/>
        <v>1200</v>
      </c>
      <c r="AK34" s="3"/>
      <c r="AL34" s="242">
        <f t="shared" si="17"/>
        <v>1200</v>
      </c>
    </row>
    <row r="35" spans="1:38" ht="12" customHeight="1">
      <c r="A35" s="470" t="s">
        <v>326</v>
      </c>
      <c r="B35" s="218"/>
      <c r="C35" s="435">
        <v>18</v>
      </c>
      <c r="D35" s="242">
        <f t="shared" si="6"/>
        <v>1200</v>
      </c>
      <c r="E35" s="6"/>
      <c r="F35" s="242">
        <f t="shared" si="7"/>
        <v>1200</v>
      </c>
      <c r="G35" s="238"/>
      <c r="H35" s="242">
        <f t="shared" si="8"/>
        <v>1200</v>
      </c>
      <c r="I35" s="3"/>
      <c r="J35" s="243">
        <f t="shared" si="23"/>
        <v>1200</v>
      </c>
      <c r="K35" s="3"/>
      <c r="L35" s="242">
        <f t="shared" si="9"/>
        <v>1200</v>
      </c>
      <c r="M35" s="238"/>
      <c r="N35" s="242">
        <f t="shared" si="10"/>
        <v>1200</v>
      </c>
      <c r="O35" s="3"/>
      <c r="P35" s="242">
        <f t="shared" si="11"/>
        <v>1200</v>
      </c>
      <c r="Q35" s="3"/>
      <c r="R35" s="220">
        <f t="shared" si="18"/>
        <v>1200</v>
      </c>
      <c r="S35" s="241"/>
      <c r="T35" s="243">
        <f t="shared" si="19"/>
        <v>1200</v>
      </c>
      <c r="U35" s="238"/>
      <c r="V35" s="242">
        <f t="shared" si="12"/>
        <v>1200</v>
      </c>
      <c r="W35" s="3"/>
      <c r="X35" s="242">
        <f t="shared" si="13"/>
        <v>1200</v>
      </c>
      <c r="Y35" s="238"/>
      <c r="Z35" s="242">
        <f t="shared" si="14"/>
        <v>1200</v>
      </c>
      <c r="AA35" s="3"/>
      <c r="AB35" s="243">
        <f t="shared" si="20"/>
        <v>1200</v>
      </c>
      <c r="AC35" s="241"/>
      <c r="AD35" s="243">
        <f t="shared" si="21"/>
        <v>1200</v>
      </c>
      <c r="AE35" s="241"/>
      <c r="AF35" s="243">
        <f t="shared" si="22"/>
        <v>1200</v>
      </c>
      <c r="AG35" s="3"/>
      <c r="AH35" s="242">
        <f t="shared" si="15"/>
        <v>1200</v>
      </c>
      <c r="AI35" s="238"/>
      <c r="AJ35" s="242">
        <f t="shared" si="16"/>
        <v>1200</v>
      </c>
      <c r="AK35" s="3"/>
      <c r="AL35" s="242">
        <f t="shared" si="17"/>
        <v>1200</v>
      </c>
    </row>
    <row r="36" spans="1:38" ht="12" customHeight="1">
      <c r="A36" s="470" t="s">
        <v>327</v>
      </c>
      <c r="B36" s="218"/>
      <c r="C36" s="435">
        <v>19</v>
      </c>
      <c r="D36" s="242">
        <f t="shared" si="6"/>
        <v>0</v>
      </c>
      <c r="E36" s="6"/>
      <c r="F36" s="242">
        <f t="shared" si="7"/>
        <v>0</v>
      </c>
      <c r="G36" s="238"/>
      <c r="H36" s="242">
        <f t="shared" si="8"/>
        <v>0</v>
      </c>
      <c r="I36" s="3"/>
      <c r="J36" s="243">
        <f t="shared" si="23"/>
        <v>0</v>
      </c>
      <c r="K36" s="3"/>
      <c r="L36" s="242">
        <f t="shared" si="9"/>
        <v>0</v>
      </c>
      <c r="M36" s="238"/>
      <c r="N36" s="242">
        <f t="shared" si="10"/>
        <v>0</v>
      </c>
      <c r="O36" s="3"/>
      <c r="P36" s="242">
        <f t="shared" si="11"/>
        <v>0</v>
      </c>
      <c r="Q36" s="3"/>
      <c r="R36" s="220">
        <f t="shared" si="18"/>
        <v>0</v>
      </c>
      <c r="S36" s="241"/>
      <c r="T36" s="243">
        <f t="shared" si="19"/>
        <v>0</v>
      </c>
      <c r="U36" s="238"/>
      <c r="V36" s="242">
        <f t="shared" si="12"/>
        <v>0</v>
      </c>
      <c r="W36" s="3"/>
      <c r="X36" s="242">
        <f t="shared" si="13"/>
        <v>0</v>
      </c>
      <c r="Y36" s="238"/>
      <c r="Z36" s="242">
        <f t="shared" si="14"/>
        <v>0</v>
      </c>
      <c r="AA36" s="3"/>
      <c r="AB36" s="243">
        <f t="shared" si="20"/>
        <v>0</v>
      </c>
      <c r="AC36" s="241"/>
      <c r="AD36" s="243">
        <f t="shared" si="21"/>
        <v>0</v>
      </c>
      <c r="AE36" s="241"/>
      <c r="AF36" s="243">
        <f t="shared" si="22"/>
        <v>0</v>
      </c>
      <c r="AG36" s="3"/>
      <c r="AH36" s="242">
        <f t="shared" si="15"/>
        <v>0</v>
      </c>
      <c r="AI36" s="238"/>
      <c r="AJ36" s="242">
        <f t="shared" si="16"/>
        <v>0</v>
      </c>
      <c r="AK36" s="3"/>
      <c r="AL36" s="242">
        <f t="shared" si="17"/>
        <v>0</v>
      </c>
    </row>
    <row r="37" spans="1:38" ht="12" customHeight="1">
      <c r="A37" s="470" t="s">
        <v>312</v>
      </c>
      <c r="B37" s="218"/>
      <c r="C37" s="435">
        <v>23</v>
      </c>
      <c r="D37" s="242">
        <f t="shared" si="6"/>
        <v>0</v>
      </c>
      <c r="E37" s="6"/>
      <c r="F37" s="242">
        <f t="shared" si="7"/>
        <v>0</v>
      </c>
      <c r="G37" s="238"/>
      <c r="H37" s="242">
        <f t="shared" si="8"/>
        <v>0</v>
      </c>
      <c r="I37" s="3"/>
      <c r="J37" s="243">
        <f t="shared" si="23"/>
        <v>0</v>
      </c>
      <c r="K37" s="3"/>
      <c r="L37" s="242">
        <f t="shared" si="9"/>
        <v>0</v>
      </c>
      <c r="M37" s="238"/>
      <c r="N37" s="242">
        <f t="shared" si="10"/>
        <v>0</v>
      </c>
      <c r="O37" s="3"/>
      <c r="P37" s="242">
        <f t="shared" si="11"/>
        <v>0</v>
      </c>
      <c r="Q37" s="3"/>
      <c r="R37" s="220">
        <f t="shared" si="18"/>
        <v>0</v>
      </c>
      <c r="S37" s="241"/>
      <c r="T37" s="243">
        <f t="shared" si="19"/>
        <v>0</v>
      </c>
      <c r="U37" s="238"/>
      <c r="V37" s="242">
        <f t="shared" si="12"/>
        <v>0</v>
      </c>
      <c r="W37" s="3"/>
      <c r="X37" s="242">
        <f t="shared" si="13"/>
        <v>0</v>
      </c>
      <c r="Y37" s="238"/>
      <c r="Z37" s="242">
        <f t="shared" si="14"/>
        <v>0</v>
      </c>
      <c r="AA37" s="3"/>
      <c r="AB37" s="243">
        <f t="shared" si="20"/>
        <v>0</v>
      </c>
      <c r="AC37" s="241"/>
      <c r="AD37" s="243">
        <f t="shared" si="21"/>
        <v>0</v>
      </c>
      <c r="AE37" s="241"/>
      <c r="AF37" s="243">
        <f t="shared" si="22"/>
        <v>0</v>
      </c>
      <c r="AG37" s="3"/>
      <c r="AH37" s="242">
        <f t="shared" si="15"/>
        <v>0</v>
      </c>
      <c r="AI37" s="238"/>
      <c r="AJ37" s="242">
        <f t="shared" si="16"/>
        <v>0</v>
      </c>
      <c r="AK37" s="3"/>
      <c r="AL37" s="242">
        <f t="shared" si="17"/>
        <v>0</v>
      </c>
    </row>
    <row r="38" spans="1:38" ht="12" customHeight="1">
      <c r="A38" s="470" t="s">
        <v>313</v>
      </c>
      <c r="B38" s="218"/>
      <c r="C38" s="435">
        <v>25</v>
      </c>
      <c r="D38" s="242">
        <f t="shared" si="6"/>
        <v>0</v>
      </c>
      <c r="E38" s="6"/>
      <c r="F38" s="242">
        <f t="shared" si="7"/>
        <v>0</v>
      </c>
      <c r="G38" s="238"/>
      <c r="H38" s="242">
        <f t="shared" si="8"/>
        <v>0</v>
      </c>
      <c r="I38" s="3"/>
      <c r="J38" s="243">
        <f t="shared" si="23"/>
        <v>0</v>
      </c>
      <c r="K38" s="3"/>
      <c r="L38" s="242">
        <f t="shared" si="9"/>
        <v>0</v>
      </c>
      <c r="M38" s="238"/>
      <c r="N38" s="242">
        <f t="shared" si="10"/>
        <v>0</v>
      </c>
      <c r="O38" s="3"/>
      <c r="P38" s="242">
        <f t="shared" si="11"/>
        <v>0</v>
      </c>
      <c r="Q38" s="3"/>
      <c r="R38" s="220">
        <f t="shared" si="18"/>
        <v>0</v>
      </c>
      <c r="S38" s="241"/>
      <c r="T38" s="243">
        <f t="shared" si="19"/>
        <v>0</v>
      </c>
      <c r="U38" s="238"/>
      <c r="V38" s="242">
        <f t="shared" si="12"/>
        <v>0</v>
      </c>
      <c r="W38" s="3"/>
      <c r="X38" s="242">
        <f t="shared" si="13"/>
        <v>0</v>
      </c>
      <c r="Y38" s="238"/>
      <c r="Z38" s="242">
        <f t="shared" si="14"/>
        <v>0</v>
      </c>
      <c r="AA38" s="3"/>
      <c r="AB38" s="243">
        <f t="shared" si="20"/>
        <v>0</v>
      </c>
      <c r="AC38" s="241"/>
      <c r="AD38" s="243">
        <f t="shared" si="21"/>
        <v>0</v>
      </c>
      <c r="AE38" s="241"/>
      <c r="AF38" s="243">
        <f t="shared" si="22"/>
        <v>0</v>
      </c>
      <c r="AG38" s="3"/>
      <c r="AH38" s="242">
        <f t="shared" si="15"/>
        <v>0</v>
      </c>
      <c r="AI38" s="238"/>
      <c r="AJ38" s="242">
        <f t="shared" si="16"/>
        <v>0</v>
      </c>
      <c r="AK38" s="3"/>
      <c r="AL38" s="242">
        <f t="shared" si="17"/>
        <v>0</v>
      </c>
    </row>
    <row r="39" spans="1:38" ht="12" customHeight="1">
      <c r="A39" s="470" t="s">
        <v>314</v>
      </c>
      <c r="B39" s="218"/>
      <c r="C39" s="435">
        <v>27</v>
      </c>
      <c r="D39" s="242">
        <f t="shared" si="6"/>
        <v>1200</v>
      </c>
      <c r="E39" s="6"/>
      <c r="F39" s="242">
        <f t="shared" si="7"/>
        <v>1200</v>
      </c>
      <c r="G39" s="238"/>
      <c r="H39" s="242">
        <f t="shared" si="8"/>
        <v>1200</v>
      </c>
      <c r="I39" s="3"/>
      <c r="J39" s="243">
        <f t="shared" si="23"/>
        <v>1200</v>
      </c>
      <c r="K39" s="3"/>
      <c r="L39" s="242">
        <f t="shared" si="9"/>
        <v>1200</v>
      </c>
      <c r="M39" s="238"/>
      <c r="N39" s="242">
        <f t="shared" si="10"/>
        <v>1200</v>
      </c>
      <c r="O39" s="3"/>
      <c r="P39" s="242">
        <f t="shared" si="11"/>
        <v>1200</v>
      </c>
      <c r="Q39" s="3"/>
      <c r="R39" s="220">
        <f t="shared" si="18"/>
        <v>1200</v>
      </c>
      <c r="S39" s="241"/>
      <c r="T39" s="243">
        <f t="shared" si="19"/>
        <v>1200</v>
      </c>
      <c r="U39" s="238"/>
      <c r="V39" s="242">
        <f t="shared" si="12"/>
        <v>1200</v>
      </c>
      <c r="W39" s="3"/>
      <c r="X39" s="242">
        <f t="shared" si="13"/>
        <v>1200</v>
      </c>
      <c r="Y39" s="238"/>
      <c r="Z39" s="242">
        <f t="shared" si="14"/>
        <v>1200</v>
      </c>
      <c r="AA39" s="3"/>
      <c r="AB39" s="243">
        <f t="shared" si="20"/>
        <v>1200</v>
      </c>
      <c r="AC39" s="241"/>
      <c r="AD39" s="243">
        <f t="shared" si="21"/>
        <v>1200</v>
      </c>
      <c r="AE39" s="241"/>
      <c r="AF39" s="243">
        <f t="shared" si="22"/>
        <v>1200</v>
      </c>
      <c r="AG39" s="3"/>
      <c r="AH39" s="242">
        <f t="shared" si="15"/>
        <v>1200</v>
      </c>
      <c r="AI39" s="238"/>
      <c r="AJ39" s="242">
        <f t="shared" si="16"/>
        <v>1200</v>
      </c>
      <c r="AK39" s="3"/>
      <c r="AL39" s="242">
        <f t="shared" si="17"/>
        <v>1200</v>
      </c>
    </row>
    <row r="40" spans="1:38" ht="15">
      <c r="A40" s="470" t="s">
        <v>315</v>
      </c>
      <c r="B40" s="218"/>
      <c r="C40" s="435">
        <v>28</v>
      </c>
      <c r="D40" s="242">
        <f t="shared" si="6"/>
        <v>0</v>
      </c>
      <c r="E40" s="6"/>
      <c r="F40" s="242">
        <f t="shared" si="7"/>
        <v>0</v>
      </c>
      <c r="G40" s="238"/>
      <c r="H40" s="242">
        <f t="shared" si="8"/>
        <v>0</v>
      </c>
      <c r="I40" s="3"/>
      <c r="J40" s="243">
        <f t="shared" si="23"/>
        <v>0</v>
      </c>
      <c r="K40" s="3"/>
      <c r="L40" s="242">
        <f t="shared" si="9"/>
        <v>0</v>
      </c>
      <c r="M40" s="238"/>
      <c r="N40" s="242">
        <f t="shared" si="10"/>
        <v>0</v>
      </c>
      <c r="O40" s="3"/>
      <c r="P40" s="242">
        <f t="shared" si="11"/>
        <v>0</v>
      </c>
      <c r="Q40" s="3"/>
      <c r="R40" s="220">
        <f t="shared" si="18"/>
        <v>0</v>
      </c>
      <c r="S40" s="241"/>
      <c r="T40" s="243">
        <f t="shared" si="19"/>
        <v>0</v>
      </c>
      <c r="U40" s="238"/>
      <c r="V40" s="242">
        <f t="shared" si="12"/>
        <v>0</v>
      </c>
      <c r="W40" s="3"/>
      <c r="X40" s="242">
        <f t="shared" si="13"/>
        <v>0</v>
      </c>
      <c r="Y40" s="238"/>
      <c r="Z40" s="242">
        <f t="shared" si="14"/>
        <v>0</v>
      </c>
      <c r="AA40" s="3"/>
      <c r="AB40" s="243">
        <f t="shared" si="20"/>
        <v>0</v>
      </c>
      <c r="AC40" s="241"/>
      <c r="AD40" s="243">
        <f t="shared" si="21"/>
        <v>0</v>
      </c>
      <c r="AE40" s="241"/>
      <c r="AF40" s="243">
        <f t="shared" si="22"/>
        <v>0</v>
      </c>
      <c r="AG40" s="3"/>
      <c r="AH40" s="242">
        <f t="shared" si="15"/>
        <v>0</v>
      </c>
      <c r="AI40" s="238"/>
      <c r="AJ40" s="242">
        <f t="shared" si="16"/>
        <v>0</v>
      </c>
      <c r="AK40" s="3"/>
      <c r="AL40" s="242">
        <f t="shared" si="17"/>
        <v>0</v>
      </c>
    </row>
    <row r="41" spans="1:38" ht="15.75" thickBot="1">
      <c r="A41" s="473" t="s">
        <v>316</v>
      </c>
      <c r="B41" s="223"/>
      <c r="C41" s="440">
        <v>30</v>
      </c>
      <c r="D41" s="244">
        <f t="shared" si="6"/>
        <v>1200</v>
      </c>
      <c r="E41" s="6"/>
      <c r="F41" s="244">
        <f t="shared" si="7"/>
        <v>1200</v>
      </c>
      <c r="G41" s="238"/>
      <c r="H41" s="244">
        <f t="shared" si="8"/>
        <v>1200</v>
      </c>
      <c r="I41" s="3"/>
      <c r="J41" s="245">
        <f t="shared" si="23"/>
        <v>1200</v>
      </c>
      <c r="K41" s="3"/>
      <c r="L41" s="244">
        <f t="shared" si="9"/>
        <v>1200</v>
      </c>
      <c r="M41" s="238"/>
      <c r="N41" s="244">
        <f t="shared" si="10"/>
        <v>1200</v>
      </c>
      <c r="O41" s="3"/>
      <c r="P41" s="244">
        <f t="shared" si="11"/>
        <v>1200</v>
      </c>
      <c r="Q41" s="3"/>
      <c r="R41" s="246">
        <f t="shared" si="18"/>
        <v>1200</v>
      </c>
      <c r="S41" s="241"/>
      <c r="T41" s="245">
        <f t="shared" si="19"/>
        <v>1200</v>
      </c>
      <c r="U41" s="238"/>
      <c r="V41" s="244">
        <f t="shared" si="12"/>
        <v>1200</v>
      </c>
      <c r="W41" s="3"/>
      <c r="X41" s="244">
        <f t="shared" si="13"/>
        <v>1200</v>
      </c>
      <c r="Y41" s="238"/>
      <c r="Z41" s="244">
        <f t="shared" si="14"/>
        <v>1200</v>
      </c>
      <c r="AA41" s="3"/>
      <c r="AB41" s="245">
        <f t="shared" si="20"/>
        <v>1200</v>
      </c>
      <c r="AC41" s="241"/>
      <c r="AD41" s="245">
        <f t="shared" si="21"/>
        <v>1200</v>
      </c>
      <c r="AE41" s="241"/>
      <c r="AF41" s="245">
        <f t="shared" si="22"/>
        <v>1200</v>
      </c>
      <c r="AG41" s="3"/>
      <c r="AH41" s="244">
        <f t="shared" si="15"/>
        <v>1200</v>
      </c>
      <c r="AI41" s="238"/>
      <c r="AJ41" s="244">
        <f t="shared" si="16"/>
        <v>1200</v>
      </c>
      <c r="AK41" s="3"/>
      <c r="AL41" s="244">
        <f t="shared" si="17"/>
        <v>1200</v>
      </c>
    </row>
    <row r="71" spans="1:38" ht="14.25">
      <c r="A71" s="32"/>
      <c r="B71" s="32"/>
      <c r="C71" s="32"/>
      <c r="D71" s="32"/>
      <c r="F71" s="32"/>
      <c r="H71" s="32"/>
      <c r="J71" s="32"/>
      <c r="L71" s="32"/>
      <c r="N71" s="32"/>
      <c r="P71" s="32"/>
      <c r="R71" s="32"/>
      <c r="T71" s="32"/>
      <c r="V71" s="32"/>
      <c r="X71" s="32"/>
      <c r="Z71" s="32"/>
      <c r="AB71" s="32"/>
      <c r="AD71" s="32"/>
      <c r="AF71" s="32"/>
      <c r="AH71" s="32"/>
      <c r="AJ71" s="32"/>
      <c r="AL71" s="32"/>
    </row>
    <row r="72" spans="1:38" ht="14.25">
      <c r="A72" s="32"/>
      <c r="B72" s="32"/>
      <c r="C72" s="32"/>
      <c r="D72" s="32"/>
      <c r="F72" s="32"/>
      <c r="H72" s="32"/>
      <c r="J72" s="32"/>
      <c r="L72" s="32"/>
      <c r="N72" s="32"/>
      <c r="P72" s="32"/>
      <c r="R72" s="32"/>
      <c r="T72" s="32"/>
      <c r="V72" s="32"/>
      <c r="X72" s="32"/>
      <c r="Z72" s="32"/>
      <c r="AB72" s="32"/>
      <c r="AD72" s="32"/>
      <c r="AF72" s="32"/>
      <c r="AH72" s="32"/>
      <c r="AJ72" s="32"/>
      <c r="AL72" s="32"/>
    </row>
    <row r="73" spans="1:38" ht="14.25">
      <c r="A73" s="32"/>
      <c r="B73" s="32"/>
      <c r="C73" s="32"/>
      <c r="D73" s="32"/>
      <c r="F73" s="32"/>
      <c r="H73" s="32"/>
      <c r="J73" s="32"/>
      <c r="L73" s="32"/>
      <c r="N73" s="32"/>
      <c r="P73" s="32"/>
      <c r="R73" s="32"/>
      <c r="T73" s="32"/>
      <c r="V73" s="32"/>
      <c r="X73" s="32"/>
      <c r="Z73" s="32"/>
      <c r="AB73" s="32"/>
      <c r="AD73" s="32"/>
      <c r="AF73" s="32"/>
      <c r="AH73" s="32"/>
      <c r="AJ73" s="32"/>
      <c r="AL73" s="32"/>
    </row>
    <row r="74" spans="1:38" ht="14.25">
      <c r="A74" s="32"/>
      <c r="B74" s="32"/>
      <c r="C74" s="32"/>
      <c r="D74" s="32"/>
      <c r="F74" s="32"/>
      <c r="H74" s="32"/>
      <c r="J74" s="32"/>
      <c r="L74" s="32"/>
      <c r="N74" s="32"/>
      <c r="P74" s="32"/>
      <c r="R74" s="32"/>
      <c r="T74" s="32"/>
      <c r="V74" s="32"/>
      <c r="X74" s="32"/>
      <c r="Z74" s="32"/>
      <c r="AB74" s="32"/>
      <c r="AD74" s="32"/>
      <c r="AF74" s="32"/>
      <c r="AH74" s="32"/>
      <c r="AJ74" s="32"/>
      <c r="AL74" s="32"/>
    </row>
    <row r="75" spans="1:38" ht="14.25">
      <c r="A75" s="32"/>
      <c r="B75" s="32"/>
      <c r="C75" s="32"/>
      <c r="D75" s="32"/>
      <c r="F75" s="32"/>
      <c r="H75" s="32"/>
      <c r="J75" s="32"/>
      <c r="L75" s="32"/>
      <c r="N75" s="32"/>
      <c r="P75" s="32"/>
      <c r="R75" s="32"/>
      <c r="T75" s="32"/>
      <c r="V75" s="32"/>
      <c r="X75" s="32"/>
      <c r="Z75" s="32"/>
      <c r="AB75" s="32"/>
      <c r="AD75" s="32"/>
      <c r="AF75" s="32"/>
      <c r="AH75" s="32"/>
      <c r="AJ75" s="32"/>
      <c r="AL75" s="32"/>
    </row>
    <row r="76" spans="1:38" ht="14.25">
      <c r="A76" s="32"/>
      <c r="B76" s="32"/>
      <c r="C76" s="32"/>
      <c r="D76" s="32"/>
      <c r="F76" s="32"/>
      <c r="H76" s="32"/>
      <c r="J76" s="32"/>
      <c r="L76" s="32"/>
      <c r="N76" s="32"/>
      <c r="P76" s="32"/>
      <c r="R76" s="32"/>
      <c r="T76" s="32"/>
      <c r="V76" s="32"/>
      <c r="X76" s="32"/>
      <c r="Z76" s="32"/>
      <c r="AB76" s="32"/>
      <c r="AD76" s="32"/>
      <c r="AF76" s="32"/>
      <c r="AH76" s="32"/>
      <c r="AJ76" s="32"/>
      <c r="AL76" s="32"/>
    </row>
    <row r="77" spans="1:38" ht="14.25">
      <c r="A77" s="32"/>
      <c r="B77" s="32"/>
      <c r="C77" s="32"/>
      <c r="D77" s="32"/>
      <c r="F77" s="32"/>
      <c r="H77" s="32"/>
      <c r="J77" s="32"/>
      <c r="L77" s="32"/>
      <c r="N77" s="32"/>
      <c r="P77" s="32"/>
      <c r="R77" s="32"/>
      <c r="T77" s="32"/>
      <c r="V77" s="32"/>
      <c r="X77" s="32"/>
      <c r="Z77" s="32"/>
      <c r="AB77" s="32"/>
      <c r="AD77" s="32"/>
      <c r="AF77" s="32"/>
      <c r="AH77" s="32"/>
      <c r="AJ77" s="32"/>
      <c r="AL77" s="32"/>
    </row>
    <row r="78" spans="1:38" ht="14.25">
      <c r="A78" s="32"/>
      <c r="B78" s="32"/>
      <c r="C78" s="32"/>
      <c r="D78" s="32"/>
      <c r="F78" s="32"/>
      <c r="H78" s="32"/>
      <c r="J78" s="32"/>
      <c r="L78" s="32"/>
      <c r="N78" s="32"/>
      <c r="P78" s="32"/>
      <c r="R78" s="32"/>
      <c r="T78" s="32"/>
      <c r="V78" s="32"/>
      <c r="X78" s="32"/>
      <c r="Z78" s="32"/>
      <c r="AB78" s="32"/>
      <c r="AD78" s="32"/>
      <c r="AF78" s="32"/>
      <c r="AH78" s="32"/>
      <c r="AJ78" s="32"/>
      <c r="AL78" s="32"/>
    </row>
    <row r="79" spans="1:38" ht="14.25">
      <c r="A79" s="32"/>
      <c r="B79" s="32"/>
      <c r="C79" s="32"/>
      <c r="D79" s="32"/>
      <c r="F79" s="32"/>
      <c r="H79" s="32"/>
      <c r="J79" s="32"/>
      <c r="L79" s="32"/>
      <c r="N79" s="32"/>
      <c r="P79" s="32"/>
      <c r="R79" s="32"/>
      <c r="T79" s="32"/>
      <c r="V79" s="32"/>
      <c r="X79" s="32"/>
      <c r="Z79" s="32"/>
      <c r="AB79" s="32"/>
      <c r="AD79" s="32"/>
      <c r="AF79" s="32"/>
      <c r="AH79" s="32"/>
      <c r="AJ79" s="32"/>
      <c r="AL79" s="32"/>
    </row>
    <row r="80" spans="1:38" ht="14.25">
      <c r="A80" s="32"/>
      <c r="B80" s="32"/>
      <c r="C80" s="32"/>
      <c r="D80" s="32"/>
      <c r="F80" s="32"/>
      <c r="H80" s="32"/>
      <c r="J80" s="32"/>
      <c r="L80" s="32"/>
      <c r="N80" s="32"/>
      <c r="P80" s="32"/>
      <c r="R80" s="32"/>
      <c r="T80" s="32"/>
      <c r="V80" s="32"/>
      <c r="X80" s="32"/>
      <c r="Z80" s="32"/>
      <c r="AB80" s="32"/>
      <c r="AD80" s="32"/>
      <c r="AF80" s="32"/>
      <c r="AH80" s="32"/>
      <c r="AJ80" s="32"/>
      <c r="AL80" s="32"/>
    </row>
    <row r="81" spans="1:38" ht="14.25">
      <c r="A81" s="32"/>
      <c r="B81" s="32"/>
      <c r="C81" s="32"/>
      <c r="D81" s="32"/>
      <c r="F81" s="32"/>
      <c r="H81" s="32"/>
      <c r="J81" s="32"/>
      <c r="L81" s="32"/>
      <c r="N81" s="32"/>
      <c r="P81" s="32"/>
      <c r="R81" s="32"/>
      <c r="T81" s="32"/>
      <c r="V81" s="32"/>
      <c r="X81" s="32"/>
      <c r="Z81" s="32"/>
      <c r="AB81" s="32"/>
      <c r="AD81" s="32"/>
      <c r="AF81" s="32"/>
      <c r="AH81" s="32"/>
      <c r="AJ81" s="32"/>
      <c r="AL81" s="32"/>
    </row>
    <row r="82" spans="1:38" ht="14.25">
      <c r="A82" s="32"/>
      <c r="B82" s="32"/>
      <c r="C82" s="32"/>
      <c r="D82" s="32"/>
      <c r="F82" s="32"/>
      <c r="H82" s="32"/>
      <c r="J82" s="32"/>
      <c r="L82" s="32"/>
      <c r="N82" s="32"/>
      <c r="P82" s="32"/>
      <c r="R82" s="32"/>
      <c r="T82" s="32"/>
      <c r="V82" s="32"/>
      <c r="X82" s="32"/>
      <c r="Z82" s="32"/>
      <c r="AB82" s="32"/>
      <c r="AD82" s="32"/>
      <c r="AF82" s="32"/>
      <c r="AH82" s="32"/>
      <c r="AJ82" s="32"/>
      <c r="AL82" s="32"/>
    </row>
    <row r="83" spans="1:38" ht="14.25">
      <c r="A83" s="32"/>
      <c r="B83" s="32"/>
      <c r="C83" s="32"/>
      <c r="D83" s="32"/>
      <c r="F83" s="32"/>
      <c r="H83" s="32"/>
      <c r="J83" s="32"/>
      <c r="L83" s="32"/>
      <c r="N83" s="32"/>
      <c r="P83" s="32"/>
      <c r="R83" s="32"/>
      <c r="T83" s="32"/>
      <c r="V83" s="32"/>
      <c r="X83" s="32"/>
      <c r="Z83" s="32"/>
      <c r="AB83" s="32"/>
      <c r="AD83" s="32"/>
      <c r="AF83" s="32"/>
      <c r="AH83" s="32"/>
      <c r="AJ83" s="32"/>
      <c r="AL83" s="32"/>
    </row>
    <row r="84" spans="1:38" ht="14.25">
      <c r="A84" s="32"/>
      <c r="B84" s="32"/>
      <c r="C84" s="32"/>
      <c r="D84" s="32"/>
      <c r="F84" s="32"/>
      <c r="H84" s="32"/>
      <c r="J84" s="32"/>
      <c r="L84" s="32"/>
      <c r="N84" s="32"/>
      <c r="P84" s="32"/>
      <c r="R84" s="32"/>
      <c r="T84" s="32"/>
      <c r="V84" s="32"/>
      <c r="X84" s="32"/>
      <c r="Z84" s="32"/>
      <c r="AB84" s="32"/>
      <c r="AD84" s="32"/>
      <c r="AF84" s="32"/>
      <c r="AH84" s="32"/>
      <c r="AJ84" s="32"/>
      <c r="AL84" s="32"/>
    </row>
    <row r="85" spans="1:38" ht="14.25">
      <c r="A85" s="32"/>
      <c r="B85" s="32"/>
      <c r="C85" s="32"/>
      <c r="D85" s="32"/>
      <c r="F85" s="32"/>
      <c r="H85" s="32"/>
      <c r="J85" s="32"/>
      <c r="L85" s="32"/>
      <c r="N85" s="32"/>
      <c r="P85" s="32"/>
      <c r="R85" s="32"/>
      <c r="T85" s="32"/>
      <c r="V85" s="32"/>
      <c r="X85" s="32"/>
      <c r="Z85" s="32"/>
      <c r="AB85" s="32"/>
      <c r="AD85" s="32"/>
      <c r="AF85" s="32"/>
      <c r="AH85" s="32"/>
      <c r="AJ85" s="32"/>
      <c r="AL85" s="32"/>
    </row>
    <row r="86" spans="1:38" ht="14.25">
      <c r="A86" s="32"/>
      <c r="B86" s="32"/>
      <c r="C86" s="32"/>
      <c r="D86" s="32"/>
      <c r="F86" s="32"/>
      <c r="H86" s="32"/>
      <c r="J86" s="32"/>
      <c r="L86" s="32"/>
      <c r="N86" s="32"/>
      <c r="P86" s="32"/>
      <c r="R86" s="32"/>
      <c r="T86" s="32"/>
      <c r="V86" s="32"/>
      <c r="X86" s="32"/>
      <c r="Z86" s="32"/>
      <c r="AB86" s="32"/>
      <c r="AD86" s="32"/>
      <c r="AF86" s="32"/>
      <c r="AH86" s="32"/>
      <c r="AJ86" s="32"/>
      <c r="AL86" s="32"/>
    </row>
    <row r="87" spans="1:38" ht="14.25">
      <c r="A87" s="32"/>
      <c r="B87" s="32"/>
      <c r="C87" s="32"/>
      <c r="D87" s="32"/>
      <c r="F87" s="32"/>
      <c r="H87" s="32"/>
      <c r="J87" s="32"/>
      <c r="L87" s="32"/>
      <c r="N87" s="32"/>
      <c r="P87" s="32"/>
      <c r="R87" s="32"/>
      <c r="T87" s="32"/>
      <c r="V87" s="32"/>
      <c r="X87" s="32"/>
      <c r="Z87" s="32"/>
      <c r="AB87" s="32"/>
      <c r="AD87" s="32"/>
      <c r="AF87" s="32"/>
      <c r="AH87" s="32"/>
      <c r="AJ87" s="32"/>
      <c r="AL87" s="32"/>
    </row>
    <row r="88" spans="1:38" ht="14.25">
      <c r="A88" s="32"/>
      <c r="B88" s="32"/>
      <c r="C88" s="32"/>
      <c r="D88" s="32"/>
      <c r="F88" s="32"/>
      <c r="H88" s="32"/>
      <c r="J88" s="32"/>
      <c r="L88" s="32"/>
      <c r="N88" s="32"/>
      <c r="P88" s="32"/>
      <c r="R88" s="32"/>
      <c r="T88" s="32"/>
      <c r="V88" s="32"/>
      <c r="X88" s="32"/>
      <c r="Z88" s="32"/>
      <c r="AB88" s="32"/>
      <c r="AD88" s="32"/>
      <c r="AF88" s="32"/>
      <c r="AH88" s="32"/>
      <c r="AJ88" s="32"/>
      <c r="AL88" s="32"/>
    </row>
    <row r="89" spans="1:38" ht="14.25">
      <c r="A89" s="32"/>
      <c r="B89" s="32"/>
      <c r="C89" s="32"/>
      <c r="D89" s="32"/>
      <c r="F89" s="32"/>
      <c r="H89" s="32"/>
      <c r="J89" s="32"/>
      <c r="L89" s="32"/>
      <c r="N89" s="32"/>
      <c r="P89" s="32"/>
      <c r="R89" s="32"/>
      <c r="T89" s="32"/>
      <c r="V89" s="32"/>
      <c r="X89" s="32"/>
      <c r="Z89" s="32"/>
      <c r="AB89" s="32"/>
      <c r="AD89" s="32"/>
      <c r="AF89" s="32"/>
      <c r="AH89" s="32"/>
      <c r="AJ89" s="32"/>
      <c r="AL89" s="32"/>
    </row>
    <row r="90" spans="1:38" ht="14.25">
      <c r="A90" s="32"/>
      <c r="B90" s="32"/>
      <c r="C90" s="32"/>
      <c r="D90" s="32"/>
      <c r="F90" s="32"/>
      <c r="H90" s="32"/>
      <c r="J90" s="32"/>
      <c r="L90" s="32"/>
      <c r="N90" s="32"/>
      <c r="P90" s="32"/>
      <c r="R90" s="32"/>
      <c r="T90" s="32"/>
      <c r="V90" s="32"/>
      <c r="X90" s="32"/>
      <c r="Z90" s="32"/>
      <c r="AB90" s="32"/>
      <c r="AD90" s="32"/>
      <c r="AF90" s="32"/>
      <c r="AH90" s="32"/>
      <c r="AJ90" s="32"/>
      <c r="AL90" s="32"/>
    </row>
    <row r="91" spans="1:38" ht="14.25">
      <c r="A91" s="32"/>
      <c r="B91" s="32"/>
      <c r="C91" s="32"/>
      <c r="D91" s="32"/>
      <c r="F91" s="32"/>
      <c r="H91" s="32"/>
      <c r="J91" s="32"/>
      <c r="L91" s="32"/>
      <c r="N91" s="32"/>
      <c r="P91" s="32"/>
      <c r="R91" s="32"/>
      <c r="T91" s="32"/>
      <c r="V91" s="32"/>
      <c r="X91" s="32"/>
      <c r="Z91" s="32"/>
      <c r="AB91" s="32"/>
      <c r="AD91" s="32"/>
      <c r="AF91" s="32"/>
      <c r="AH91" s="32"/>
      <c r="AJ91" s="32"/>
      <c r="AL91" s="32"/>
    </row>
    <row r="92" spans="1:38" ht="14.25">
      <c r="A92" s="32"/>
      <c r="B92" s="32"/>
      <c r="C92" s="32"/>
      <c r="D92" s="32"/>
      <c r="F92" s="32"/>
      <c r="H92" s="32"/>
      <c r="J92" s="32"/>
      <c r="L92" s="32"/>
      <c r="N92" s="32"/>
      <c r="P92" s="32"/>
      <c r="R92" s="32"/>
      <c r="T92" s="32"/>
      <c r="V92" s="32"/>
      <c r="X92" s="32"/>
      <c r="Z92" s="32"/>
      <c r="AB92" s="32"/>
      <c r="AD92" s="32"/>
      <c r="AF92" s="32"/>
      <c r="AH92" s="32"/>
      <c r="AJ92" s="32"/>
      <c r="AL92" s="32"/>
    </row>
    <row r="93" spans="1:38" ht="14.25">
      <c r="A93" s="32"/>
      <c r="B93" s="32"/>
      <c r="C93" s="32"/>
      <c r="D93" s="32"/>
      <c r="F93" s="32"/>
      <c r="H93" s="32"/>
      <c r="J93" s="32"/>
      <c r="L93" s="32"/>
      <c r="N93" s="32"/>
      <c r="P93" s="32"/>
      <c r="R93" s="32"/>
      <c r="T93" s="32"/>
      <c r="V93" s="32"/>
      <c r="X93" s="32"/>
      <c r="Z93" s="32"/>
      <c r="AB93" s="32"/>
      <c r="AD93" s="32"/>
      <c r="AF93" s="32"/>
      <c r="AH93" s="32"/>
      <c r="AJ93" s="32"/>
      <c r="AL93" s="32"/>
    </row>
    <row r="94" spans="1:38" ht="14.25">
      <c r="A94" s="32"/>
      <c r="B94" s="32"/>
      <c r="C94" s="32"/>
      <c r="D94" s="32"/>
      <c r="F94" s="32"/>
      <c r="H94" s="32"/>
      <c r="J94" s="32"/>
      <c r="L94" s="32"/>
      <c r="N94" s="32"/>
      <c r="P94" s="32"/>
      <c r="R94" s="32"/>
      <c r="T94" s="32"/>
      <c r="V94" s="32"/>
      <c r="X94" s="32"/>
      <c r="Z94" s="32"/>
      <c r="AB94" s="32"/>
      <c r="AD94" s="32"/>
      <c r="AF94" s="32"/>
      <c r="AH94" s="32"/>
      <c r="AJ94" s="32"/>
      <c r="AL94" s="32"/>
    </row>
    <row r="95" spans="1:38" ht="14.25">
      <c r="A95" s="32"/>
      <c r="B95" s="32"/>
      <c r="C95" s="32"/>
      <c r="D95" s="32"/>
      <c r="F95" s="32"/>
      <c r="H95" s="32"/>
      <c r="J95" s="32"/>
      <c r="L95" s="32"/>
      <c r="N95" s="32"/>
      <c r="P95" s="32"/>
      <c r="R95" s="32"/>
      <c r="T95" s="32"/>
      <c r="V95" s="32"/>
      <c r="X95" s="32"/>
      <c r="Z95" s="32"/>
      <c r="AB95" s="32"/>
      <c r="AD95" s="32"/>
      <c r="AF95" s="32"/>
      <c r="AH95" s="32"/>
      <c r="AJ95" s="32"/>
      <c r="AL95" s="32"/>
    </row>
    <row r="96" spans="1:38" ht="14.25">
      <c r="A96" s="32"/>
      <c r="B96" s="32"/>
      <c r="C96" s="32"/>
      <c r="D96" s="32"/>
      <c r="F96" s="32"/>
      <c r="H96" s="32"/>
      <c r="J96" s="32"/>
      <c r="L96" s="32"/>
      <c r="N96" s="32"/>
      <c r="P96" s="32"/>
      <c r="R96" s="32"/>
      <c r="T96" s="32"/>
      <c r="V96" s="32"/>
      <c r="X96" s="32"/>
      <c r="Z96" s="32"/>
      <c r="AB96" s="32"/>
      <c r="AD96" s="32"/>
      <c r="AF96" s="32"/>
      <c r="AH96" s="32"/>
      <c r="AJ96" s="32"/>
      <c r="AL96" s="32"/>
    </row>
    <row r="97" spans="1:38" ht="14.25">
      <c r="A97" s="32"/>
      <c r="B97" s="32"/>
      <c r="C97" s="32"/>
      <c r="D97" s="32"/>
      <c r="F97" s="32"/>
      <c r="H97" s="32"/>
      <c r="J97" s="32"/>
      <c r="L97" s="32"/>
      <c r="N97" s="32"/>
      <c r="P97" s="32"/>
      <c r="R97" s="32"/>
      <c r="T97" s="32"/>
      <c r="V97" s="32"/>
      <c r="X97" s="32"/>
      <c r="Z97" s="32"/>
      <c r="AB97" s="32"/>
      <c r="AD97" s="32"/>
      <c r="AF97" s="32"/>
      <c r="AH97" s="32"/>
      <c r="AJ97" s="32"/>
      <c r="AL97" s="32"/>
    </row>
    <row r="98" spans="1:38" ht="14.25">
      <c r="A98" s="32"/>
      <c r="B98" s="32"/>
      <c r="C98" s="32"/>
      <c r="D98" s="32"/>
      <c r="F98" s="32"/>
      <c r="H98" s="32"/>
      <c r="J98" s="32"/>
      <c r="L98" s="32"/>
      <c r="N98" s="32"/>
      <c r="P98" s="32"/>
      <c r="R98" s="32"/>
      <c r="T98" s="32"/>
      <c r="V98" s="32"/>
      <c r="X98" s="32"/>
      <c r="Z98" s="32"/>
      <c r="AB98" s="32"/>
      <c r="AD98" s="32"/>
      <c r="AF98" s="32"/>
      <c r="AH98" s="32"/>
      <c r="AJ98" s="32"/>
      <c r="AL98" s="32"/>
    </row>
    <row r="99" spans="1:38" ht="14.25">
      <c r="A99" s="32"/>
      <c r="B99" s="32"/>
      <c r="C99" s="32"/>
      <c r="D99" s="32"/>
      <c r="F99" s="32"/>
      <c r="H99" s="32"/>
      <c r="J99" s="32"/>
      <c r="L99" s="32"/>
      <c r="N99" s="32"/>
      <c r="P99" s="32"/>
      <c r="R99" s="32"/>
      <c r="T99" s="32"/>
      <c r="V99" s="32"/>
      <c r="X99" s="32"/>
      <c r="Z99" s="32"/>
      <c r="AB99" s="32"/>
      <c r="AD99" s="32"/>
      <c r="AF99" s="32"/>
      <c r="AH99" s="32"/>
      <c r="AJ99" s="32"/>
      <c r="AL99" s="32"/>
    </row>
    <row r="100" spans="1:38" ht="14.25">
      <c r="A100" s="32"/>
      <c r="B100" s="32"/>
      <c r="C100" s="32"/>
      <c r="D100" s="32"/>
      <c r="F100" s="32"/>
      <c r="H100" s="32"/>
      <c r="J100" s="32"/>
      <c r="L100" s="32"/>
      <c r="N100" s="32"/>
      <c r="P100" s="32"/>
      <c r="R100" s="32"/>
      <c r="T100" s="32"/>
      <c r="V100" s="32"/>
      <c r="X100" s="32"/>
      <c r="Z100" s="32"/>
      <c r="AB100" s="32"/>
      <c r="AD100" s="32"/>
      <c r="AF100" s="32"/>
      <c r="AH100" s="32"/>
      <c r="AJ100" s="32"/>
      <c r="AL100" s="32"/>
    </row>
    <row r="101" spans="1:38" ht="14.25">
      <c r="A101" s="32"/>
      <c r="B101" s="32"/>
      <c r="C101" s="32"/>
      <c r="D101" s="32"/>
      <c r="F101" s="32"/>
      <c r="H101" s="32"/>
      <c r="J101" s="32"/>
      <c r="L101" s="32"/>
      <c r="N101" s="32"/>
      <c r="P101" s="32"/>
      <c r="R101" s="32"/>
      <c r="T101" s="32"/>
      <c r="V101" s="32"/>
      <c r="X101" s="32"/>
      <c r="Z101" s="32"/>
      <c r="AB101" s="32"/>
      <c r="AD101" s="32"/>
      <c r="AF101" s="32"/>
      <c r="AH101" s="32"/>
      <c r="AJ101" s="32"/>
      <c r="AL101" s="32"/>
    </row>
    <row r="102" spans="1:38" ht="14.25">
      <c r="A102" s="32"/>
      <c r="B102" s="32"/>
      <c r="C102" s="32"/>
      <c r="D102" s="32"/>
      <c r="F102" s="32"/>
      <c r="H102" s="32"/>
      <c r="J102" s="32"/>
      <c r="L102" s="32"/>
      <c r="N102" s="32"/>
      <c r="P102" s="32"/>
      <c r="R102" s="32"/>
      <c r="T102" s="32"/>
      <c r="V102" s="32"/>
      <c r="X102" s="32"/>
      <c r="Z102" s="32"/>
      <c r="AB102" s="32"/>
      <c r="AD102" s="32"/>
      <c r="AF102" s="32"/>
      <c r="AH102" s="32"/>
      <c r="AJ102" s="32"/>
      <c r="AL102" s="32"/>
    </row>
    <row r="103" spans="1:38" ht="14.25">
      <c r="A103" s="32"/>
      <c r="B103" s="32"/>
      <c r="C103" s="32"/>
      <c r="D103" s="32"/>
      <c r="F103" s="32"/>
      <c r="H103" s="32"/>
      <c r="J103" s="32"/>
      <c r="L103" s="32"/>
      <c r="N103" s="32"/>
      <c r="P103" s="32"/>
      <c r="R103" s="32"/>
      <c r="T103" s="32"/>
      <c r="V103" s="32"/>
      <c r="X103" s="32"/>
      <c r="Z103" s="32"/>
      <c r="AB103" s="32"/>
      <c r="AD103" s="32"/>
      <c r="AF103" s="32"/>
      <c r="AH103" s="32"/>
      <c r="AJ103" s="32"/>
      <c r="AL103" s="32"/>
    </row>
    <row r="104" spans="1:38" ht="14.25">
      <c r="A104" s="32"/>
      <c r="B104" s="32"/>
      <c r="C104" s="32"/>
      <c r="D104" s="32"/>
      <c r="F104" s="32"/>
      <c r="H104" s="32"/>
      <c r="J104" s="32"/>
      <c r="L104" s="32"/>
      <c r="N104" s="32"/>
      <c r="P104" s="32"/>
      <c r="R104" s="32"/>
      <c r="T104" s="32"/>
      <c r="V104" s="32"/>
      <c r="X104" s="32"/>
      <c r="Z104" s="32"/>
      <c r="AB104" s="32"/>
      <c r="AD104" s="32"/>
      <c r="AF104" s="32"/>
      <c r="AH104" s="32"/>
      <c r="AJ104" s="32"/>
      <c r="AL104" s="32"/>
    </row>
    <row r="105" spans="1:38" ht="14.25">
      <c r="A105" s="32"/>
      <c r="B105" s="32"/>
      <c r="C105" s="32"/>
      <c r="D105" s="32"/>
      <c r="F105" s="32"/>
      <c r="H105" s="32"/>
      <c r="J105" s="32"/>
      <c r="L105" s="32"/>
      <c r="N105" s="32"/>
      <c r="P105" s="32"/>
      <c r="R105" s="32"/>
      <c r="T105" s="32"/>
      <c r="V105" s="32"/>
      <c r="X105" s="32"/>
      <c r="Z105" s="32"/>
      <c r="AB105" s="32"/>
      <c r="AD105" s="32"/>
      <c r="AF105" s="32"/>
      <c r="AH105" s="32"/>
      <c r="AJ105" s="32"/>
      <c r="AL105" s="32"/>
    </row>
    <row r="106" spans="1:38" ht="14.25">
      <c r="A106" s="32"/>
      <c r="B106" s="32"/>
      <c r="C106" s="32"/>
      <c r="D106" s="32"/>
      <c r="F106" s="32"/>
      <c r="H106" s="32"/>
      <c r="J106" s="32"/>
      <c r="L106" s="32"/>
      <c r="N106" s="32"/>
      <c r="P106" s="32"/>
      <c r="R106" s="32"/>
      <c r="T106" s="32"/>
      <c r="V106" s="32"/>
      <c r="X106" s="32"/>
      <c r="Z106" s="32"/>
      <c r="AB106" s="32"/>
      <c r="AD106" s="32"/>
      <c r="AF106" s="32"/>
      <c r="AH106" s="32"/>
      <c r="AJ106" s="32"/>
      <c r="AL106" s="32"/>
    </row>
    <row r="107" spans="1:38" ht="14.25">
      <c r="A107" s="32"/>
      <c r="B107" s="32"/>
      <c r="C107" s="32"/>
      <c r="D107" s="32"/>
      <c r="F107" s="32"/>
      <c r="H107" s="32"/>
      <c r="J107" s="32"/>
      <c r="L107" s="32"/>
      <c r="N107" s="32"/>
      <c r="P107" s="32"/>
      <c r="R107" s="32"/>
      <c r="T107" s="32"/>
      <c r="V107" s="32"/>
      <c r="X107" s="32"/>
      <c r="Z107" s="32"/>
      <c r="AB107" s="32"/>
      <c r="AD107" s="32"/>
      <c r="AF107" s="32"/>
      <c r="AH107" s="32"/>
      <c r="AJ107" s="32"/>
      <c r="AL107" s="32"/>
    </row>
    <row r="108" spans="1:38" ht="14.25">
      <c r="A108" s="32"/>
      <c r="B108" s="32"/>
      <c r="C108" s="32"/>
      <c r="D108" s="32"/>
      <c r="F108" s="32"/>
      <c r="H108" s="32"/>
      <c r="J108" s="32"/>
      <c r="L108" s="32"/>
      <c r="N108" s="32"/>
      <c r="P108" s="32"/>
      <c r="R108" s="32"/>
      <c r="T108" s="32"/>
      <c r="V108" s="32"/>
      <c r="X108" s="32"/>
      <c r="Z108" s="32"/>
      <c r="AB108" s="32"/>
      <c r="AD108" s="32"/>
      <c r="AF108" s="32"/>
      <c r="AH108" s="32"/>
      <c r="AJ108" s="32"/>
      <c r="AL108" s="32"/>
    </row>
    <row r="109" spans="1:38" ht="14.25">
      <c r="A109" s="32"/>
      <c r="B109" s="32"/>
      <c r="C109" s="32"/>
      <c r="D109" s="32"/>
      <c r="F109" s="32"/>
      <c r="H109" s="32"/>
      <c r="J109" s="32"/>
      <c r="L109" s="32"/>
      <c r="N109" s="32"/>
      <c r="P109" s="32"/>
      <c r="R109" s="32"/>
      <c r="T109" s="32"/>
      <c r="V109" s="32"/>
      <c r="X109" s="32"/>
      <c r="Z109" s="32"/>
      <c r="AB109" s="32"/>
      <c r="AD109" s="32"/>
      <c r="AF109" s="32"/>
      <c r="AH109" s="32"/>
      <c r="AJ109" s="32"/>
      <c r="AL109" s="32"/>
    </row>
    <row r="110" spans="1:38" ht="14.25">
      <c r="A110" s="32"/>
      <c r="B110" s="32"/>
      <c r="C110" s="32"/>
      <c r="D110" s="32"/>
      <c r="F110" s="32"/>
      <c r="H110" s="32"/>
      <c r="J110" s="32"/>
      <c r="L110" s="32"/>
      <c r="N110" s="32"/>
      <c r="P110" s="32"/>
      <c r="R110" s="32"/>
      <c r="T110" s="32"/>
      <c r="V110" s="32"/>
      <c r="X110" s="32"/>
      <c r="Z110" s="32"/>
      <c r="AB110" s="32"/>
      <c r="AD110" s="32"/>
      <c r="AF110" s="32"/>
      <c r="AH110" s="32"/>
      <c r="AJ110" s="32"/>
      <c r="AL110" s="32"/>
    </row>
    <row r="111" spans="1:38" ht="14.25">
      <c r="A111" s="32"/>
      <c r="B111" s="32"/>
      <c r="C111" s="32"/>
      <c r="D111" s="32"/>
      <c r="F111" s="32"/>
      <c r="H111" s="32"/>
      <c r="J111" s="32"/>
      <c r="L111" s="32"/>
      <c r="N111" s="32"/>
      <c r="P111" s="32"/>
      <c r="R111" s="32"/>
      <c r="T111" s="32"/>
      <c r="V111" s="32"/>
      <c r="X111" s="32"/>
      <c r="Z111" s="32"/>
      <c r="AB111" s="32"/>
      <c r="AD111" s="32"/>
      <c r="AF111" s="32"/>
      <c r="AH111" s="32"/>
      <c r="AJ111" s="32"/>
      <c r="AL111" s="32"/>
    </row>
    <row r="112" spans="1:38" ht="14.25">
      <c r="A112" s="32"/>
      <c r="B112" s="32"/>
      <c r="C112" s="32"/>
      <c r="D112" s="32"/>
      <c r="F112" s="32"/>
      <c r="H112" s="32"/>
      <c r="J112" s="32"/>
      <c r="L112" s="32"/>
      <c r="N112" s="32"/>
      <c r="P112" s="32"/>
      <c r="R112" s="32"/>
      <c r="T112" s="32"/>
      <c r="V112" s="32"/>
      <c r="X112" s="32"/>
      <c r="Z112" s="32"/>
      <c r="AB112" s="32"/>
      <c r="AD112" s="32"/>
      <c r="AF112" s="32"/>
      <c r="AH112" s="32"/>
      <c r="AJ112" s="32"/>
      <c r="AL112" s="32"/>
    </row>
    <row r="113" spans="1:38" ht="14.25">
      <c r="A113" s="32"/>
      <c r="B113" s="32"/>
      <c r="C113" s="32"/>
      <c r="D113" s="32"/>
      <c r="F113" s="32"/>
      <c r="H113" s="32"/>
      <c r="J113" s="32"/>
      <c r="L113" s="32"/>
      <c r="N113" s="32"/>
      <c r="P113" s="32"/>
      <c r="R113" s="32"/>
      <c r="T113" s="32"/>
      <c r="V113" s="32"/>
      <c r="X113" s="32"/>
      <c r="Z113" s="32"/>
      <c r="AB113" s="32"/>
      <c r="AD113" s="32"/>
      <c r="AF113" s="32"/>
      <c r="AH113" s="32"/>
      <c r="AJ113" s="32"/>
      <c r="AL113" s="32"/>
    </row>
    <row r="114" ht="14.25">
      <c r="A114" s="14"/>
    </row>
    <row r="115" ht="14.25">
      <c r="A115" s="14"/>
    </row>
    <row r="116" ht="14.25">
      <c r="A116" s="14"/>
    </row>
    <row r="117" ht="14.25">
      <c r="A117" s="14"/>
    </row>
    <row r="118" ht="14.25">
      <c r="A118" s="14"/>
    </row>
    <row r="119" ht="14.25">
      <c r="A119" s="14"/>
    </row>
    <row r="120" ht="14.25">
      <c r="A120" s="14"/>
    </row>
    <row r="121" ht="14.25">
      <c r="A121" s="14"/>
    </row>
    <row r="122" ht="14.25">
      <c r="A122" s="14"/>
    </row>
    <row r="123" ht="14.25">
      <c r="A123" s="14"/>
    </row>
    <row r="124" ht="14.25">
      <c r="A124" s="14"/>
    </row>
    <row r="125" ht="14.25">
      <c r="A125" s="14"/>
    </row>
    <row r="126" ht="14.25">
      <c r="A126" s="14"/>
    </row>
    <row r="127" ht="14.25">
      <c r="A127" s="14"/>
    </row>
    <row r="128" ht="14.25">
      <c r="A128" s="14"/>
    </row>
    <row r="129" ht="14.25">
      <c r="A129" s="14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ht="14.25">
      <c r="A134" s="14"/>
    </row>
    <row r="135" ht="14.25">
      <c r="A135" s="14"/>
    </row>
    <row r="136" ht="14.25">
      <c r="A136" s="14"/>
    </row>
    <row r="137" ht="14.25">
      <c r="A137" s="14"/>
    </row>
    <row r="138" ht="14.25">
      <c r="A138" s="14"/>
    </row>
    <row r="139" ht="14.25">
      <c r="A139" s="14"/>
    </row>
    <row r="140" ht="14.25">
      <c r="A140" s="14"/>
    </row>
    <row r="141" ht="14.25">
      <c r="A141" s="14"/>
    </row>
    <row r="142" ht="14.25">
      <c r="A142" s="14"/>
    </row>
    <row r="143" ht="14.25">
      <c r="A143" s="14"/>
    </row>
    <row r="144" ht="14.25">
      <c r="A144" s="14"/>
    </row>
    <row r="145" ht="14.25">
      <c r="A145" s="14"/>
    </row>
    <row r="146" ht="14.25">
      <c r="A146" s="14"/>
    </row>
    <row r="147" ht="14.25">
      <c r="A147" s="14"/>
    </row>
    <row r="148" ht="14.25">
      <c r="A148" s="14"/>
    </row>
    <row r="149" ht="14.25">
      <c r="A149" s="14"/>
    </row>
    <row r="150" ht="14.25">
      <c r="A150" s="14"/>
    </row>
    <row r="151" ht="14.25">
      <c r="A151" s="14"/>
    </row>
    <row r="152" ht="14.25">
      <c r="A152" s="14"/>
    </row>
    <row r="153" ht="14.25">
      <c r="A153" s="14"/>
    </row>
    <row r="154" ht="14.25">
      <c r="A154" s="14"/>
    </row>
    <row r="155" ht="14.25">
      <c r="A155" s="14"/>
    </row>
    <row r="156" ht="14.25">
      <c r="A156" s="14"/>
    </row>
    <row r="157" ht="14.25">
      <c r="A157" s="14"/>
    </row>
    <row r="158" ht="14.25">
      <c r="A158" s="14"/>
    </row>
    <row r="159" ht="14.25">
      <c r="A159" s="14"/>
    </row>
    <row r="160" ht="14.25">
      <c r="A160" s="14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ht="14.25">
      <c r="A173" s="14"/>
    </row>
    <row r="174" ht="14.25">
      <c r="A174" s="14"/>
    </row>
    <row r="175" ht="14.25">
      <c r="A175" s="14"/>
    </row>
    <row r="176" ht="14.25">
      <c r="A176" s="14"/>
    </row>
    <row r="177" ht="14.25">
      <c r="A177" s="14"/>
    </row>
    <row r="178" ht="14.25">
      <c r="A178" s="14"/>
    </row>
    <row r="179" ht="14.25">
      <c r="A179" s="14"/>
    </row>
    <row r="180" ht="14.25">
      <c r="A180" s="14"/>
    </row>
    <row r="181" ht="14.25">
      <c r="A181" s="14"/>
    </row>
    <row r="182" ht="14.25">
      <c r="A182" s="14"/>
    </row>
    <row r="183" ht="14.25">
      <c r="A183" s="14"/>
    </row>
    <row r="184" ht="14.25">
      <c r="A184" s="14"/>
    </row>
    <row r="185" ht="14.25">
      <c r="A185" s="14"/>
    </row>
    <row r="186" ht="14.25">
      <c r="A186" s="14"/>
    </row>
    <row r="187" ht="14.25">
      <c r="A187" s="14"/>
    </row>
    <row r="188" ht="14.25">
      <c r="A188" s="14"/>
    </row>
    <row r="189" ht="14.25">
      <c r="A189" s="14"/>
    </row>
    <row r="190" ht="14.25">
      <c r="A190" s="14"/>
    </row>
    <row r="191" ht="14.25">
      <c r="A191" s="14"/>
    </row>
    <row r="192" ht="14.25">
      <c r="A192" s="14"/>
    </row>
    <row r="193" ht="14.25">
      <c r="A193" s="14"/>
    </row>
    <row r="194" ht="14.25">
      <c r="A194" s="14"/>
    </row>
    <row r="195" ht="14.25">
      <c r="A195" s="14"/>
    </row>
    <row r="196" ht="14.25">
      <c r="A196" s="14"/>
    </row>
    <row r="197" ht="14.25">
      <c r="A197" s="14"/>
    </row>
    <row r="198" ht="14.25">
      <c r="A198" s="14"/>
    </row>
    <row r="199" ht="14.25">
      <c r="A199" s="14"/>
    </row>
    <row r="200" ht="14.25">
      <c r="A200" s="14"/>
    </row>
    <row r="201" ht="14.25">
      <c r="A201" s="14"/>
    </row>
    <row r="202" ht="14.25">
      <c r="A202" s="14"/>
    </row>
    <row r="203" ht="14.25">
      <c r="A203" s="14"/>
    </row>
    <row r="204" ht="14.25">
      <c r="A204" s="14"/>
    </row>
    <row r="205" ht="14.25">
      <c r="A205" s="14"/>
    </row>
    <row r="206" ht="14.25">
      <c r="A206" s="14"/>
    </row>
    <row r="207" ht="14.25">
      <c r="A207" s="14"/>
    </row>
    <row r="208" ht="14.25">
      <c r="A208" s="14"/>
    </row>
    <row r="209" ht="14.25">
      <c r="A209" s="14"/>
    </row>
    <row r="210" ht="14.25">
      <c r="A210" s="14"/>
    </row>
    <row r="211" ht="14.25">
      <c r="A211" s="14"/>
    </row>
    <row r="212" ht="14.25">
      <c r="A212" s="14"/>
    </row>
    <row r="213" ht="14.25">
      <c r="A213" s="14"/>
    </row>
    <row r="214" ht="14.25">
      <c r="A214" s="14"/>
    </row>
    <row r="215" ht="14.25">
      <c r="A215" s="14"/>
    </row>
    <row r="216" ht="14.25">
      <c r="A216" s="14"/>
    </row>
    <row r="217" ht="14.25">
      <c r="A217" s="14"/>
    </row>
    <row r="218" ht="14.25">
      <c r="A218" s="14"/>
    </row>
    <row r="219" ht="14.25">
      <c r="A219" s="14"/>
    </row>
    <row r="220" ht="14.25">
      <c r="A220" s="14"/>
    </row>
    <row r="221" ht="14.25">
      <c r="A221" s="14"/>
    </row>
    <row r="222" ht="14.25">
      <c r="A222" s="14"/>
    </row>
    <row r="223" ht="14.25">
      <c r="A223" s="14"/>
    </row>
    <row r="224" ht="14.25">
      <c r="A224" s="14"/>
    </row>
    <row r="225" ht="14.25">
      <c r="A225" s="14"/>
    </row>
    <row r="226" ht="14.25">
      <c r="A226" s="14"/>
    </row>
    <row r="227" ht="14.25">
      <c r="A227" s="14"/>
    </row>
    <row r="228" ht="14.25">
      <c r="A228" s="14"/>
    </row>
    <row r="229" ht="14.25">
      <c r="A229" s="14"/>
    </row>
    <row r="230" ht="14.25">
      <c r="A230" s="14"/>
    </row>
    <row r="231" ht="14.25">
      <c r="A231" s="14"/>
    </row>
    <row r="232" ht="14.25">
      <c r="A232" s="14"/>
    </row>
    <row r="233" ht="14.25">
      <c r="A233" s="14"/>
    </row>
    <row r="234" ht="14.25">
      <c r="A234" s="14"/>
    </row>
    <row r="235" ht="14.25">
      <c r="A235" s="14"/>
    </row>
    <row r="236" ht="14.25">
      <c r="A236" s="14"/>
    </row>
    <row r="237" ht="14.25">
      <c r="A237" s="14"/>
    </row>
    <row r="238" ht="14.25">
      <c r="A238" s="14"/>
    </row>
    <row r="239" ht="14.25">
      <c r="A239" s="14"/>
    </row>
    <row r="240" ht="14.25">
      <c r="A240" s="14"/>
    </row>
    <row r="241" ht="14.25">
      <c r="A241" s="14"/>
    </row>
    <row r="242" ht="14.25">
      <c r="A242" s="14"/>
    </row>
    <row r="243" ht="14.25">
      <c r="A243" s="14"/>
    </row>
    <row r="244" ht="14.25">
      <c r="A244" s="14"/>
    </row>
    <row r="245" ht="14.25">
      <c r="A245" s="14"/>
    </row>
    <row r="246" ht="14.25">
      <c r="A246" s="14"/>
    </row>
    <row r="247" ht="14.25">
      <c r="A247" s="14"/>
    </row>
    <row r="248" ht="14.25">
      <c r="A248" s="14"/>
    </row>
    <row r="249" ht="14.25">
      <c r="A249" s="14"/>
    </row>
    <row r="250" ht="14.25">
      <c r="A250" s="14"/>
    </row>
    <row r="251" ht="14.25">
      <c r="A251" s="14"/>
    </row>
    <row r="252" ht="14.25">
      <c r="A252" s="14"/>
    </row>
    <row r="253" ht="14.25">
      <c r="A253" s="14"/>
    </row>
    <row r="254" ht="14.25">
      <c r="A254" s="14"/>
    </row>
    <row r="255" ht="14.25">
      <c r="A255" s="14"/>
    </row>
    <row r="256" ht="14.25">
      <c r="A256" s="14"/>
    </row>
    <row r="257" ht="14.25">
      <c r="A257" s="14"/>
    </row>
    <row r="258" ht="14.25">
      <c r="A258" s="14"/>
    </row>
    <row r="259" ht="14.25">
      <c r="A259" s="14"/>
    </row>
    <row r="260" ht="14.25">
      <c r="A260" s="14"/>
    </row>
    <row r="261" ht="14.25">
      <c r="A261" s="14"/>
    </row>
    <row r="262" ht="14.25">
      <c r="A262" s="14"/>
    </row>
    <row r="263" ht="14.25">
      <c r="A263" s="14"/>
    </row>
    <row r="264" ht="14.25">
      <c r="A264" s="14"/>
    </row>
    <row r="265" ht="14.25">
      <c r="A265" s="14"/>
    </row>
    <row r="266" ht="14.25">
      <c r="A266" s="14"/>
    </row>
    <row r="267" ht="14.25">
      <c r="A267" s="14"/>
    </row>
    <row r="268" ht="14.25">
      <c r="A268" s="14"/>
    </row>
    <row r="269" ht="14.25">
      <c r="A269" s="14"/>
    </row>
    <row r="270" ht="14.25">
      <c r="A270" s="14"/>
    </row>
    <row r="271" ht="14.25">
      <c r="A271" s="14"/>
    </row>
    <row r="272" ht="14.25">
      <c r="A272" s="14"/>
    </row>
    <row r="273" ht="14.25">
      <c r="A273" s="14"/>
    </row>
    <row r="274" ht="14.25">
      <c r="A274" s="14"/>
    </row>
    <row r="275" ht="14.25">
      <c r="A275" s="14"/>
    </row>
    <row r="276" ht="14.25">
      <c r="A276" s="14"/>
    </row>
    <row r="277" ht="14.25">
      <c r="A277" s="14"/>
    </row>
    <row r="278" ht="14.25">
      <c r="A278" s="14"/>
    </row>
    <row r="279" ht="14.25">
      <c r="A279" s="14"/>
    </row>
    <row r="280" ht="14.25">
      <c r="A280" s="14"/>
    </row>
    <row r="281" ht="14.25">
      <c r="A281" s="14"/>
    </row>
    <row r="282" ht="14.25">
      <c r="A282" s="14"/>
    </row>
    <row r="283" ht="14.25">
      <c r="A283" s="14"/>
    </row>
    <row r="284" ht="14.25">
      <c r="A284" s="14"/>
    </row>
  </sheetData>
  <mergeCells count="3">
    <mergeCell ref="A4:A5"/>
    <mergeCell ref="C4:C5"/>
    <mergeCell ref="A6:A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2"/>
  <dimension ref="B2:K33"/>
  <sheetViews>
    <sheetView showGridLines="0" showZeros="0" workbookViewId="0" topLeftCell="A1">
      <selection activeCell="L17" sqref="L17"/>
    </sheetView>
  </sheetViews>
  <sheetFormatPr defaultColWidth="9.00390625" defaultRowHeight="14.25"/>
  <cols>
    <col min="1" max="1" width="9.00390625" style="709" customWidth="1"/>
    <col min="2" max="2" width="10.125" style="709" customWidth="1"/>
    <col min="3" max="3" width="24.625" style="709" customWidth="1"/>
    <col min="4" max="4" width="4.875" style="709" customWidth="1"/>
    <col min="5" max="5" width="5.625" style="709" customWidth="1"/>
    <col min="6" max="6" width="6.75390625" style="709" customWidth="1"/>
    <col min="7" max="7" width="12.125" style="709" customWidth="1"/>
    <col min="8" max="10" width="9.00390625" style="709" customWidth="1"/>
    <col min="11" max="11" width="11.25390625" style="709" customWidth="1"/>
    <col min="12" max="16384" width="9.00390625" style="709" customWidth="1"/>
  </cols>
  <sheetData>
    <row r="2" spans="2:11" ht="14.25">
      <c r="B2" s="858"/>
      <c r="C2" s="858"/>
      <c r="D2" s="858"/>
      <c r="E2" s="858"/>
      <c r="F2" s="858"/>
      <c r="G2" s="858"/>
      <c r="H2" s="858"/>
      <c r="I2" s="858"/>
      <c r="J2" s="858"/>
      <c r="K2" s="858"/>
    </row>
    <row r="3" spans="2:11" ht="22.5">
      <c r="B3" s="861" t="s">
        <v>1039</v>
      </c>
      <c r="C3" s="861"/>
      <c r="D3" s="861"/>
      <c r="E3" s="861"/>
      <c r="F3" s="861"/>
      <c r="G3" s="861"/>
      <c r="H3" s="861"/>
      <c r="I3" s="861"/>
      <c r="J3" s="710">
        <v>3</v>
      </c>
      <c r="K3" s="858"/>
    </row>
    <row r="4" spans="2:11" ht="14.25">
      <c r="B4" s="858"/>
      <c r="C4" s="858"/>
      <c r="D4" s="858"/>
      <c r="E4" s="858"/>
      <c r="F4" s="858"/>
      <c r="G4" s="858"/>
      <c r="H4" s="952" t="s">
        <v>328</v>
      </c>
      <c r="I4" s="952"/>
      <c r="J4" s="858"/>
      <c r="K4" s="858"/>
    </row>
    <row r="5" spans="2:11" ht="15" customHeight="1">
      <c r="B5" s="804" t="s">
        <v>1044</v>
      </c>
      <c r="C5" s="858"/>
      <c r="D5" s="957">
        <f>HLOOKUP($J$3,'利润表'!$D$3:$AM$86,2)</f>
        <v>38777</v>
      </c>
      <c r="E5" s="957"/>
      <c r="F5" s="957"/>
      <c r="G5" s="858"/>
      <c r="H5" s="953" t="s">
        <v>329</v>
      </c>
      <c r="I5" s="953"/>
      <c r="J5" s="858"/>
      <c r="K5" s="858"/>
    </row>
    <row r="6" spans="2:11" ht="4.5" customHeight="1" thickBot="1">
      <c r="B6" s="858"/>
      <c r="C6" s="858"/>
      <c r="D6" s="858"/>
      <c r="E6" s="858"/>
      <c r="F6" s="858"/>
      <c r="G6" s="858"/>
      <c r="H6" s="858"/>
      <c r="I6" s="858"/>
      <c r="J6" s="858"/>
      <c r="K6" s="858"/>
    </row>
    <row r="7" spans="2:11" ht="24.75" customHeight="1">
      <c r="B7" s="862" t="s">
        <v>330</v>
      </c>
      <c r="C7" s="863"/>
      <c r="D7" s="863"/>
      <c r="E7" s="864" t="s">
        <v>458</v>
      </c>
      <c r="F7" s="954" t="s">
        <v>331</v>
      </c>
      <c r="G7" s="954"/>
      <c r="H7" s="955" t="s">
        <v>332</v>
      </c>
      <c r="I7" s="956"/>
      <c r="J7" s="946">
        <f ca="1">NOW()</f>
        <v>38825.56742395833</v>
      </c>
      <c r="K7" s="946"/>
    </row>
    <row r="8" spans="2:11" ht="2.25" customHeight="1">
      <c r="B8" s="800"/>
      <c r="C8" s="801"/>
      <c r="D8" s="801"/>
      <c r="E8" s="802"/>
      <c r="F8" s="803"/>
      <c r="G8" s="803"/>
      <c r="H8" s="803"/>
      <c r="I8" s="803"/>
      <c r="J8" s="859"/>
      <c r="K8" s="859"/>
    </row>
    <row r="9" spans="2:11" ht="19.5" customHeight="1">
      <c r="B9" s="865" t="s">
        <v>333</v>
      </c>
      <c r="C9" s="866"/>
      <c r="D9" s="866"/>
      <c r="E9" s="867">
        <v>1</v>
      </c>
      <c r="F9" s="947">
        <f>HLOOKUP($J$3,'利润表'!$D$3:$AN$86,6)</f>
        <v>0</v>
      </c>
      <c r="G9" s="948" t="e">
        <f>HLOOKUP($M$3,'资产负债表'!$D$7:$Q$76,5)</f>
        <v>#N/A</v>
      </c>
      <c r="H9" s="949">
        <f>HLOOKUP($J$3,'利润表'!$D$3:$AN$86,25)</f>
        <v>80000</v>
      </c>
      <c r="I9" s="950" t="e">
        <f>HLOOKUP($M$3,'资产负债表'!$D$7:$Q$76,5)</f>
        <v>#N/A</v>
      </c>
      <c r="J9" s="951" t="str">
        <f>CHOOSE(WEEKDAY(J7,2),"星期一","星期二","星期三","星期四","星期五","星期六","星期日")</f>
        <v>星期二</v>
      </c>
      <c r="K9" s="951"/>
    </row>
    <row r="10" spans="2:11" ht="19.5" customHeight="1">
      <c r="B10" s="868" t="s">
        <v>460</v>
      </c>
      <c r="C10" s="869"/>
      <c r="D10" s="869"/>
      <c r="E10" s="870">
        <v>4</v>
      </c>
      <c r="F10" s="938">
        <f>HLOOKUP($J$3,'利润表'!$D$3:$AN$86,7)</f>
        <v>0</v>
      </c>
      <c r="G10" s="939" t="e">
        <f>HLOOKUP($M$3,'资产负债表'!$D$7:$Q$76,5)</f>
        <v>#N/A</v>
      </c>
      <c r="H10" s="940">
        <f>HLOOKUP($J$3,'利润表'!$D$3:$AN$86,26)</f>
        <v>70000</v>
      </c>
      <c r="I10" s="941" t="e">
        <f>HLOOKUP($M$3,'资产负债表'!$D$7:$Q$76,5)</f>
        <v>#N/A</v>
      </c>
      <c r="J10" s="858"/>
      <c r="K10" s="858"/>
    </row>
    <row r="11" spans="2:11" ht="19.5" customHeight="1">
      <c r="B11" s="868" t="s">
        <v>461</v>
      </c>
      <c r="C11" s="869"/>
      <c r="D11" s="869"/>
      <c r="E11" s="870">
        <v>5</v>
      </c>
      <c r="F11" s="938">
        <f>HLOOKUP($J$3,'利润表'!$D$3:$AN$86,8)</f>
        <v>0</v>
      </c>
      <c r="G11" s="939" t="e">
        <f>HLOOKUP($M$3,'资产负债表'!$D$7:$Q$76,5)</f>
        <v>#N/A</v>
      </c>
      <c r="H11" s="940">
        <f>HLOOKUP($J$3,'利润表'!$D$3:$AN$86,27)</f>
        <v>0</v>
      </c>
      <c r="I11" s="941" t="e">
        <f>HLOOKUP($M$3,'资产负债表'!$D$7:$Q$76,5)</f>
        <v>#N/A</v>
      </c>
      <c r="J11" s="858"/>
      <c r="K11" s="858"/>
    </row>
    <row r="12" spans="2:11" ht="19.5" customHeight="1">
      <c r="B12" s="868" t="s">
        <v>462</v>
      </c>
      <c r="C12" s="869"/>
      <c r="D12" s="869"/>
      <c r="E12" s="870">
        <v>10</v>
      </c>
      <c r="F12" s="938">
        <f>HLOOKUP($J$3,'利润表'!$D$3:$AN$86,9)</f>
        <v>0</v>
      </c>
      <c r="G12" s="939" t="e">
        <f>HLOOKUP($M$3,'资产负债表'!$D$7:$Q$76,5)</f>
        <v>#N/A</v>
      </c>
      <c r="H12" s="940">
        <f>HLOOKUP($J$3,'利润表'!$D$3:$AN$86,28)</f>
        <v>10000</v>
      </c>
      <c r="I12" s="941" t="e">
        <f>HLOOKUP($M$3,'资产负债表'!$D$7:$Q$76,5)</f>
        <v>#N/A</v>
      </c>
      <c r="J12" s="858"/>
      <c r="K12" s="858"/>
    </row>
    <row r="13" spans="2:11" ht="19.5" customHeight="1">
      <c r="B13" s="868" t="s">
        <v>463</v>
      </c>
      <c r="C13" s="869"/>
      <c r="D13" s="869"/>
      <c r="E13" s="870">
        <v>11</v>
      </c>
      <c r="F13" s="938">
        <f>HLOOKUP($J$3,'利润表'!$D$3:$AN$86,10)</f>
        <v>0</v>
      </c>
      <c r="G13" s="939" t="e">
        <f>HLOOKUP($M$3,'资产负债表'!$D$7:$Q$76,5)</f>
        <v>#N/A</v>
      </c>
      <c r="H13" s="940">
        <f>HLOOKUP($J$3,'利润表'!$D$3:$AN$86,29)</f>
        <v>0</v>
      </c>
      <c r="I13" s="941" t="e">
        <f>HLOOKUP($M$3,'资产负债表'!$D$7:$Q$76,5)</f>
        <v>#N/A</v>
      </c>
      <c r="J13" s="858"/>
      <c r="K13" s="858"/>
    </row>
    <row r="14" spans="2:11" ht="19.5" customHeight="1">
      <c r="B14" s="868" t="s">
        <v>464</v>
      </c>
      <c r="C14" s="869"/>
      <c r="D14" s="869"/>
      <c r="E14" s="870">
        <v>14</v>
      </c>
      <c r="F14" s="938">
        <f>HLOOKUP($J$3,'利润表'!$D$3:$AN$86,11)</f>
        <v>0</v>
      </c>
      <c r="G14" s="939" t="e">
        <f>HLOOKUP($M$3,'资产负债表'!$D$7:$Q$76,5)</f>
        <v>#N/A</v>
      </c>
      <c r="H14" s="940">
        <f>HLOOKUP($J$3,'利润表'!$D$3:$AN$86,30)</f>
        <v>600</v>
      </c>
      <c r="I14" s="941" t="e">
        <f>HLOOKUP($M$3,'资产负债表'!$D$7:$Q$76,5)</f>
        <v>#N/A</v>
      </c>
      <c r="J14" s="858"/>
      <c r="K14" s="858"/>
    </row>
    <row r="15" spans="2:11" ht="19.5" customHeight="1">
      <c r="B15" s="868" t="s">
        <v>465</v>
      </c>
      <c r="C15" s="869"/>
      <c r="D15" s="869"/>
      <c r="E15" s="870">
        <v>15</v>
      </c>
      <c r="F15" s="938">
        <f>HLOOKUP($J$3,'利润表'!$D$3:$AN$86,12)</f>
        <v>0</v>
      </c>
      <c r="G15" s="939" t="e">
        <f>HLOOKUP($M$3,'资产负债表'!$D$7:$Q$76,5)</f>
        <v>#N/A</v>
      </c>
      <c r="H15" s="940">
        <f>HLOOKUP($J$3,'利润表'!$D$3:$AN$86,31)</f>
        <v>7000</v>
      </c>
      <c r="I15" s="941" t="e">
        <f>HLOOKUP($M$3,'资产负债表'!$D$7:$Q$76,5)</f>
        <v>#N/A</v>
      </c>
      <c r="J15" s="858"/>
      <c r="K15" s="858"/>
    </row>
    <row r="16" spans="2:11" ht="19.5" customHeight="1">
      <c r="B16" s="868" t="s">
        <v>466</v>
      </c>
      <c r="C16" s="869"/>
      <c r="D16" s="869"/>
      <c r="E16" s="870">
        <v>16</v>
      </c>
      <c r="F16" s="938">
        <f>HLOOKUP($J$3,'利润表'!$D$3:$AN$86,13)</f>
        <v>0</v>
      </c>
      <c r="G16" s="939" t="e">
        <f>HLOOKUP($M$3,'资产负债表'!$D$7:$Q$76,5)</f>
        <v>#N/A</v>
      </c>
      <c r="H16" s="940">
        <f>HLOOKUP($J$3,'利润表'!$D$3:$AN$86,32)</f>
        <v>1200</v>
      </c>
      <c r="I16" s="941" t="e">
        <f>HLOOKUP($M$3,'资产负债表'!$D$7:$Q$76,5)</f>
        <v>#N/A</v>
      </c>
      <c r="J16" s="858"/>
      <c r="K16" s="858"/>
    </row>
    <row r="17" spans="2:11" ht="19.5" customHeight="1">
      <c r="B17" s="868" t="s">
        <v>467</v>
      </c>
      <c r="C17" s="869"/>
      <c r="D17" s="869"/>
      <c r="E17" s="870">
        <v>18</v>
      </c>
      <c r="F17" s="938">
        <f>HLOOKUP($J$3,'利润表'!$D$3:$AN$86,14)</f>
        <v>0</v>
      </c>
      <c r="G17" s="939" t="e">
        <f>HLOOKUP($M$3,'资产负债表'!$D$7:$Q$76,5)</f>
        <v>#N/A</v>
      </c>
      <c r="H17" s="940">
        <f>HLOOKUP($J$3,'利润表'!$D$3:$AN$86,33)</f>
        <v>1200</v>
      </c>
      <c r="I17" s="941" t="e">
        <f>HLOOKUP($M$3,'资产负债表'!$D$7:$Q$76,5)</f>
        <v>#N/A</v>
      </c>
      <c r="J17" s="858"/>
      <c r="K17" s="858"/>
    </row>
    <row r="18" spans="2:11" ht="19.5" customHeight="1">
      <c r="B18" s="868" t="s">
        <v>468</v>
      </c>
      <c r="C18" s="869"/>
      <c r="D18" s="869"/>
      <c r="E18" s="870">
        <v>19</v>
      </c>
      <c r="F18" s="938">
        <f>HLOOKUP($J$3,'利润表'!$D$3:$AN$86,15)</f>
        <v>0</v>
      </c>
      <c r="G18" s="939" t="e">
        <f>HLOOKUP($M$3,'资产负债表'!$D$7:$Q$76,5)</f>
        <v>#N/A</v>
      </c>
      <c r="H18" s="940">
        <f>HLOOKUP($J$3,'利润表'!$D$3:$AN$86,34)</f>
        <v>0</v>
      </c>
      <c r="I18" s="941" t="e">
        <f>HLOOKUP($M$3,'资产负债表'!$D$7:$Q$76,5)</f>
        <v>#N/A</v>
      </c>
      <c r="J18" s="858"/>
      <c r="K18" s="858"/>
    </row>
    <row r="19" spans="2:11" ht="19.5" customHeight="1">
      <c r="B19" s="868" t="s">
        <v>469</v>
      </c>
      <c r="C19" s="869"/>
      <c r="D19" s="869"/>
      <c r="E19" s="870">
        <v>23</v>
      </c>
      <c r="F19" s="938">
        <f>HLOOKUP($J$3,'利润表'!$D$3:$AN$86,16)</f>
        <v>0</v>
      </c>
      <c r="G19" s="939" t="e">
        <f>HLOOKUP($M$3,'资产负债表'!$D$7:$Q$76,5)</f>
        <v>#N/A</v>
      </c>
      <c r="H19" s="940">
        <f>HLOOKUP($J$3,'利润表'!$D$3:$AN$86,35)</f>
        <v>0</v>
      </c>
      <c r="I19" s="941" t="e">
        <f>HLOOKUP($M$3,'资产负债表'!$D$7:$Q$76,5)</f>
        <v>#N/A</v>
      </c>
      <c r="J19" s="858"/>
      <c r="K19" s="858"/>
    </row>
    <row r="20" spans="2:11" ht="19.5" customHeight="1">
      <c r="B20" s="868" t="s">
        <v>470</v>
      </c>
      <c r="C20" s="869"/>
      <c r="D20" s="869"/>
      <c r="E20" s="870">
        <v>25</v>
      </c>
      <c r="F20" s="938">
        <f>HLOOKUP($J$3,'利润表'!$D$3:$AN$86,17)</f>
        <v>0</v>
      </c>
      <c r="G20" s="939" t="e">
        <f>HLOOKUP($M$3,'资产负债表'!$D$7:$Q$76,5)</f>
        <v>#N/A</v>
      </c>
      <c r="H20" s="940">
        <f>HLOOKUP($J$3,'利润表'!$D$3:$AN$86,36)</f>
        <v>0</v>
      </c>
      <c r="I20" s="941" t="e">
        <f>HLOOKUP($M$3,'资产负债表'!$D$7:$Q$76,5)</f>
        <v>#N/A</v>
      </c>
      <c r="J20" s="858"/>
      <c r="K20" s="858"/>
    </row>
    <row r="21" spans="2:11" ht="19.5" customHeight="1">
      <c r="B21" s="868" t="s">
        <v>471</v>
      </c>
      <c r="C21" s="869"/>
      <c r="D21" s="869"/>
      <c r="E21" s="870">
        <v>27</v>
      </c>
      <c r="F21" s="938">
        <f>HLOOKUP($J$3,'利润表'!$D$3:$AN$86,18)</f>
        <v>0</v>
      </c>
      <c r="G21" s="939" t="e">
        <f>HLOOKUP($M$3,'资产负债表'!$D$7:$Q$76,5)</f>
        <v>#N/A</v>
      </c>
      <c r="H21" s="940">
        <f>HLOOKUP($J$3,'利润表'!$D$3:$AN$86,37)</f>
        <v>1200</v>
      </c>
      <c r="I21" s="941" t="e">
        <f>HLOOKUP($M$3,'资产负债表'!$D$7:$Q$76,5)</f>
        <v>#N/A</v>
      </c>
      <c r="J21" s="858"/>
      <c r="K21" s="858"/>
    </row>
    <row r="22" spans="2:11" ht="19.5" customHeight="1">
      <c r="B22" s="868" t="s">
        <v>472</v>
      </c>
      <c r="C22" s="869"/>
      <c r="D22" s="869"/>
      <c r="E22" s="870">
        <v>28</v>
      </c>
      <c r="F22" s="938">
        <f>HLOOKUP($J$3,'利润表'!$D$3:$AN$86,19)</f>
        <v>0</v>
      </c>
      <c r="G22" s="939" t="e">
        <f>HLOOKUP($M$3,'资产负债表'!$D$7:$Q$76,5)</f>
        <v>#N/A</v>
      </c>
      <c r="H22" s="940">
        <f>HLOOKUP($J$3,'利润表'!$D$3:$AN$86,38)</f>
        <v>0</v>
      </c>
      <c r="I22" s="941" t="e">
        <f>HLOOKUP($M$3,'资产负债表'!$D$7:$Q$76,5)</f>
        <v>#N/A</v>
      </c>
      <c r="J22" s="858"/>
      <c r="K22" s="858"/>
    </row>
    <row r="23" spans="2:11" ht="19.5" customHeight="1" thickBot="1">
      <c r="B23" s="871" t="s">
        <v>473</v>
      </c>
      <c r="C23" s="872"/>
      <c r="D23" s="872"/>
      <c r="E23" s="873">
        <v>30</v>
      </c>
      <c r="F23" s="942">
        <f>HLOOKUP($J$3,'利润表'!$D$3:$AN$86,20)</f>
        <v>0</v>
      </c>
      <c r="G23" s="943" t="e">
        <f>HLOOKUP($M$3,'资产负债表'!$D$7:$Q$76,5)</f>
        <v>#N/A</v>
      </c>
      <c r="H23" s="944">
        <f>HLOOKUP($J$3,'利润表'!$D$3:$AN$86,39)</f>
        <v>1200</v>
      </c>
      <c r="I23" s="945" t="e">
        <f>HLOOKUP($M$3,'资产负债表'!$D$7:$Q$76,5)</f>
        <v>#N/A</v>
      </c>
      <c r="J23" s="858"/>
      <c r="K23" s="858"/>
    </row>
    <row r="24" spans="2:11" ht="6.75" customHeight="1">
      <c r="B24" s="858"/>
      <c r="C24" s="858"/>
      <c r="D24" s="858"/>
      <c r="E24" s="858"/>
      <c r="F24" s="858"/>
      <c r="G24" s="858"/>
      <c r="H24" s="858"/>
      <c r="I24" s="858"/>
      <c r="J24" s="858"/>
      <c r="K24" s="858"/>
    </row>
    <row r="25" spans="2:11" ht="14.25">
      <c r="B25" s="860" t="s">
        <v>474</v>
      </c>
      <c r="C25" s="858"/>
      <c r="D25" s="858"/>
      <c r="E25" s="858"/>
      <c r="F25" s="858"/>
      <c r="G25" s="858"/>
      <c r="H25" s="858"/>
      <c r="I25" s="858"/>
      <c r="J25" s="858"/>
      <c r="K25" s="858"/>
    </row>
    <row r="26" spans="2:11" ht="14.25">
      <c r="B26" s="860" t="s">
        <v>475</v>
      </c>
      <c r="C26" s="858"/>
      <c r="D26" s="858"/>
      <c r="E26" s="858"/>
      <c r="F26" s="858"/>
      <c r="G26" s="858"/>
      <c r="H26" s="858"/>
      <c r="I26" s="858"/>
      <c r="J26" s="858"/>
      <c r="K26" s="858"/>
    </row>
    <row r="27" spans="2:11" ht="14.25">
      <c r="B27" s="858"/>
      <c r="C27" s="858"/>
      <c r="D27" s="858"/>
      <c r="E27" s="858"/>
      <c r="F27" s="858"/>
      <c r="G27" s="858"/>
      <c r="H27" s="858"/>
      <c r="I27" s="858"/>
      <c r="J27" s="858"/>
      <c r="K27" s="858"/>
    </row>
    <row r="28" spans="2:11" ht="14.25">
      <c r="B28" s="858"/>
      <c r="C28" s="858"/>
      <c r="D28" s="858"/>
      <c r="E28" s="858"/>
      <c r="F28" s="858"/>
      <c r="G28" s="858"/>
      <c r="H28" s="858"/>
      <c r="I28" s="858"/>
      <c r="J28" s="858"/>
      <c r="K28" s="858"/>
    </row>
    <row r="29" spans="2:11" ht="14.25">
      <c r="B29" s="858"/>
      <c r="C29" s="858"/>
      <c r="D29" s="858"/>
      <c r="E29" s="858"/>
      <c r="F29" s="858"/>
      <c r="G29" s="858"/>
      <c r="H29" s="858"/>
      <c r="I29" s="858"/>
      <c r="J29" s="858"/>
      <c r="K29" s="858"/>
    </row>
    <row r="30" spans="2:11" ht="14.25">
      <c r="B30" s="858"/>
      <c r="C30" s="858"/>
      <c r="D30" s="858"/>
      <c r="E30" s="858"/>
      <c r="F30" s="858"/>
      <c r="G30" s="858"/>
      <c r="H30" s="858"/>
      <c r="I30" s="858"/>
      <c r="J30" s="858"/>
      <c r="K30" s="858"/>
    </row>
    <row r="31" spans="2:11" ht="14.25">
      <c r="B31" s="858"/>
      <c r="C31" s="858"/>
      <c r="D31" s="858"/>
      <c r="E31" s="858"/>
      <c r="F31" s="858"/>
      <c r="G31" s="858"/>
      <c r="H31" s="858"/>
      <c r="I31" s="858"/>
      <c r="J31" s="858"/>
      <c r="K31" s="858"/>
    </row>
    <row r="32" spans="2:11" ht="14.25">
      <c r="B32" s="858"/>
      <c r="C32" s="858"/>
      <c r="D32" s="858"/>
      <c r="E32" s="858"/>
      <c r="F32" s="858"/>
      <c r="G32" s="858"/>
      <c r="H32" s="858"/>
      <c r="I32" s="858"/>
      <c r="J32" s="858"/>
      <c r="K32" s="858"/>
    </row>
    <row r="33" spans="2:9" ht="14.25">
      <c r="B33" s="858"/>
      <c r="C33" s="858"/>
      <c r="D33" s="858"/>
      <c r="E33" s="858"/>
      <c r="F33" s="858"/>
      <c r="G33" s="858"/>
      <c r="H33" s="858"/>
      <c r="I33" s="858"/>
    </row>
  </sheetData>
  <sheetProtection/>
  <mergeCells count="37">
    <mergeCell ref="H4:I4"/>
    <mergeCell ref="H5:I5"/>
    <mergeCell ref="F7:G7"/>
    <mergeCell ref="H7:I7"/>
    <mergeCell ref="D5:F5"/>
    <mergeCell ref="J7:K7"/>
    <mergeCell ref="F9:G9"/>
    <mergeCell ref="H9:I9"/>
    <mergeCell ref="J9:K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H18:I18"/>
    <mergeCell ref="F19:G19"/>
    <mergeCell ref="H19:I19"/>
    <mergeCell ref="F16:G16"/>
    <mergeCell ref="H16:I16"/>
    <mergeCell ref="F17:G17"/>
    <mergeCell ref="H17:I17"/>
    <mergeCell ref="F18:G18"/>
    <mergeCell ref="F22:G22"/>
    <mergeCell ref="H22:I22"/>
    <mergeCell ref="F23:G23"/>
    <mergeCell ref="H23:I23"/>
    <mergeCell ref="F20:G20"/>
    <mergeCell ref="H20:I20"/>
    <mergeCell ref="F21:G21"/>
    <mergeCell ref="H21:I21"/>
  </mergeCells>
  <printOptions horizontalCentered="1"/>
  <pageMargins left="0.15748031496062992" right="0.15748031496062992" top="1.82" bottom="0.5905511811023623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2"/>
  <dimension ref="A1:I45"/>
  <sheetViews>
    <sheetView workbookViewId="0" topLeftCell="A1">
      <selection activeCell="J13" sqref="J13"/>
    </sheetView>
  </sheetViews>
  <sheetFormatPr defaultColWidth="9.00390625" defaultRowHeight="14.25"/>
  <cols>
    <col min="1" max="1" width="10.00390625" style="0" customWidth="1"/>
    <col min="2" max="2" width="23.125" style="0" customWidth="1"/>
    <col min="3" max="3" width="6.25390625" style="0" customWidth="1"/>
  </cols>
  <sheetData>
    <row r="1" spans="1:9" ht="14.25">
      <c r="A1" s="3"/>
      <c r="B1" s="3"/>
      <c r="C1" s="3"/>
      <c r="D1" s="3"/>
      <c r="E1" s="3"/>
      <c r="F1" s="3"/>
      <c r="G1" s="3"/>
      <c r="H1" s="3"/>
      <c r="I1" s="3"/>
    </row>
    <row r="2" spans="1:9" ht="20.25">
      <c r="A2" s="477" t="s">
        <v>477</v>
      </c>
      <c r="B2" s="477"/>
      <c r="C2" s="477"/>
      <c r="D2" s="477"/>
      <c r="E2" s="477"/>
      <c r="F2" s="477"/>
      <c r="G2" s="477"/>
      <c r="H2" s="3"/>
      <c r="I2" s="3"/>
    </row>
    <row r="3" spans="1:9" ht="14.25">
      <c r="A3" s="3"/>
      <c r="B3" s="3"/>
      <c r="C3" s="3"/>
      <c r="D3" s="3"/>
      <c r="E3" s="3"/>
      <c r="F3" s="966" t="s">
        <v>478</v>
      </c>
      <c r="G3" s="966"/>
      <c r="H3" s="3"/>
      <c r="I3" s="3"/>
    </row>
    <row r="4" spans="1:9" ht="14.25">
      <c r="A4" s="51" t="s">
        <v>1045</v>
      </c>
      <c r="B4" s="3"/>
      <c r="C4" s="967" t="s">
        <v>479</v>
      </c>
      <c r="D4" s="967"/>
      <c r="E4" s="3"/>
      <c r="F4" s="968" t="s">
        <v>480</v>
      </c>
      <c r="G4" s="968"/>
      <c r="H4" s="3"/>
      <c r="I4" s="3"/>
    </row>
    <row r="5" spans="1:9" ht="3.75" customHeight="1" thickBot="1">
      <c r="A5" s="485"/>
      <c r="B5" s="486"/>
      <c r="C5" s="487"/>
      <c r="D5" s="487"/>
      <c r="E5" s="486"/>
      <c r="F5" s="488"/>
      <c r="G5" s="488"/>
      <c r="H5" s="3"/>
      <c r="I5" s="3"/>
    </row>
    <row r="6" spans="1:9" ht="27" customHeight="1">
      <c r="A6" s="478" t="s">
        <v>476</v>
      </c>
      <c r="B6" s="479"/>
      <c r="C6" s="489" t="s">
        <v>786</v>
      </c>
      <c r="D6" s="480" t="s">
        <v>481</v>
      </c>
      <c r="E6" s="481"/>
      <c r="F6" s="482" t="s">
        <v>482</v>
      </c>
      <c r="G6" s="483"/>
      <c r="H6" s="3"/>
      <c r="I6" s="3"/>
    </row>
    <row r="7" spans="1:9" ht="19.5" customHeight="1">
      <c r="A7" s="484" t="s">
        <v>483</v>
      </c>
      <c r="B7" s="126"/>
      <c r="C7" s="490"/>
      <c r="D7" s="969"/>
      <c r="E7" s="970"/>
      <c r="F7" s="971"/>
      <c r="G7" s="972"/>
      <c r="H7" s="3"/>
      <c r="I7" s="3"/>
    </row>
    <row r="8" spans="1:9" ht="19.5" customHeight="1">
      <c r="A8" s="416" t="s">
        <v>484</v>
      </c>
      <c r="B8" s="127"/>
      <c r="C8" s="491" t="s">
        <v>485</v>
      </c>
      <c r="D8" s="958"/>
      <c r="E8" s="959"/>
      <c r="F8" s="960"/>
      <c r="G8" s="961"/>
      <c r="H8" s="3"/>
      <c r="I8" s="3"/>
    </row>
    <row r="9" spans="1:9" ht="19.5" customHeight="1">
      <c r="A9" s="416" t="s">
        <v>486</v>
      </c>
      <c r="B9" s="127"/>
      <c r="C9" s="491">
        <v>2</v>
      </c>
      <c r="D9" s="958"/>
      <c r="E9" s="959"/>
      <c r="F9" s="960"/>
      <c r="G9" s="961"/>
      <c r="H9" s="3"/>
      <c r="I9" s="3"/>
    </row>
    <row r="10" spans="1:9" ht="19.5" customHeight="1">
      <c r="A10" s="416" t="s">
        <v>487</v>
      </c>
      <c r="B10" s="127"/>
      <c r="C10" s="491">
        <v>3</v>
      </c>
      <c r="D10" s="958"/>
      <c r="E10" s="959"/>
      <c r="F10" s="960"/>
      <c r="G10" s="961"/>
      <c r="H10" s="3"/>
      <c r="I10" s="3"/>
    </row>
    <row r="11" spans="1:9" ht="19.5" customHeight="1">
      <c r="A11" s="416" t="s">
        <v>488</v>
      </c>
      <c r="B11" s="127"/>
      <c r="C11" s="491">
        <v>4</v>
      </c>
      <c r="D11" s="958"/>
      <c r="E11" s="959"/>
      <c r="F11" s="960"/>
      <c r="G11" s="961"/>
      <c r="H11" s="3"/>
      <c r="I11" s="3"/>
    </row>
    <row r="12" spans="1:9" ht="19.5" customHeight="1">
      <c r="A12" s="416" t="s">
        <v>489</v>
      </c>
      <c r="B12" s="127"/>
      <c r="C12" s="491">
        <v>5</v>
      </c>
      <c r="D12" s="958"/>
      <c r="E12" s="959"/>
      <c r="F12" s="960"/>
      <c r="G12" s="961"/>
      <c r="H12" s="3"/>
      <c r="I12" s="3"/>
    </row>
    <row r="13" spans="1:9" ht="19.5" customHeight="1">
      <c r="A13" s="416"/>
      <c r="B13" s="127"/>
      <c r="C13" s="491">
        <v>6</v>
      </c>
      <c r="D13" s="958"/>
      <c r="E13" s="959"/>
      <c r="F13" s="960"/>
      <c r="G13" s="961"/>
      <c r="H13" s="3"/>
      <c r="I13" s="3"/>
    </row>
    <row r="14" spans="1:9" ht="19.5" customHeight="1">
      <c r="A14" s="416"/>
      <c r="B14" s="127"/>
      <c r="C14" s="491">
        <v>7</v>
      </c>
      <c r="D14" s="958"/>
      <c r="E14" s="959"/>
      <c r="F14" s="960"/>
      <c r="G14" s="961"/>
      <c r="H14" s="3"/>
      <c r="I14" s="3"/>
    </row>
    <row r="15" spans="1:9" ht="19.5" customHeight="1">
      <c r="A15" s="416" t="s">
        <v>490</v>
      </c>
      <c r="B15" s="127"/>
      <c r="C15" s="491">
        <v>8</v>
      </c>
      <c r="D15" s="958"/>
      <c r="E15" s="959"/>
      <c r="F15" s="960"/>
      <c r="G15" s="961"/>
      <c r="H15" s="3"/>
      <c r="I15" s="3"/>
    </row>
    <row r="16" spans="1:9" ht="19.5" customHeight="1">
      <c r="A16" s="416" t="s">
        <v>491</v>
      </c>
      <c r="B16" s="127"/>
      <c r="C16" s="491">
        <v>9</v>
      </c>
      <c r="D16" s="958"/>
      <c r="E16" s="959"/>
      <c r="F16" s="960"/>
      <c r="G16" s="961"/>
      <c r="H16" s="3"/>
      <c r="I16" s="3"/>
    </row>
    <row r="17" spans="1:9" ht="19.5" customHeight="1">
      <c r="A17" s="416" t="s">
        <v>492</v>
      </c>
      <c r="B17" s="127"/>
      <c r="C17" s="491">
        <v>10</v>
      </c>
      <c r="D17" s="958"/>
      <c r="E17" s="959"/>
      <c r="F17" s="960"/>
      <c r="G17" s="961"/>
      <c r="H17" s="3"/>
      <c r="I17" s="3"/>
    </row>
    <row r="18" spans="1:9" ht="19.5" customHeight="1">
      <c r="A18" s="416" t="s">
        <v>493</v>
      </c>
      <c r="B18" s="127"/>
      <c r="C18" s="491">
        <v>11</v>
      </c>
      <c r="D18" s="958"/>
      <c r="E18" s="959"/>
      <c r="F18" s="960"/>
      <c r="G18" s="961"/>
      <c r="H18" s="3"/>
      <c r="I18" s="3"/>
    </row>
    <row r="19" spans="1:9" ht="19.5" customHeight="1">
      <c r="A19" s="416" t="s">
        <v>494</v>
      </c>
      <c r="B19" s="127"/>
      <c r="C19" s="491">
        <v>12</v>
      </c>
      <c r="D19" s="958"/>
      <c r="E19" s="959"/>
      <c r="F19" s="960"/>
      <c r="G19" s="961"/>
      <c r="H19" s="3"/>
      <c r="I19" s="3"/>
    </row>
    <row r="20" spans="1:9" ht="19.5" customHeight="1">
      <c r="A20" s="416"/>
      <c r="B20" s="127"/>
      <c r="C20" s="491">
        <v>13</v>
      </c>
      <c r="D20" s="958"/>
      <c r="E20" s="959"/>
      <c r="F20" s="960"/>
      <c r="G20" s="961"/>
      <c r="H20" s="3"/>
      <c r="I20" s="3"/>
    </row>
    <row r="21" spans="1:9" ht="19.5" customHeight="1">
      <c r="A21" s="416"/>
      <c r="B21" s="127"/>
      <c r="C21" s="491">
        <v>14</v>
      </c>
      <c r="D21" s="958"/>
      <c r="E21" s="959"/>
      <c r="F21" s="960"/>
      <c r="G21" s="961"/>
      <c r="H21" s="3"/>
      <c r="I21" s="3"/>
    </row>
    <row r="22" spans="1:9" ht="19.5" customHeight="1">
      <c r="A22" s="416" t="s">
        <v>495</v>
      </c>
      <c r="B22" s="127"/>
      <c r="C22" s="491" t="s">
        <v>496</v>
      </c>
      <c r="D22" s="958"/>
      <c r="E22" s="959"/>
      <c r="F22" s="960"/>
      <c r="G22" s="961"/>
      <c r="H22" s="3"/>
      <c r="I22" s="3"/>
    </row>
    <row r="23" spans="1:9" ht="19.5" customHeight="1">
      <c r="A23" s="419" t="s">
        <v>497</v>
      </c>
      <c r="B23" s="127"/>
      <c r="C23" s="491"/>
      <c r="D23" s="958"/>
      <c r="E23" s="959"/>
      <c r="F23" s="960"/>
      <c r="G23" s="961"/>
      <c r="H23" s="3"/>
      <c r="I23" s="3"/>
    </row>
    <row r="24" spans="1:9" ht="19.5" customHeight="1">
      <c r="A24" s="416" t="s">
        <v>498</v>
      </c>
      <c r="B24" s="127"/>
      <c r="C24" s="491" t="s">
        <v>499</v>
      </c>
      <c r="D24" s="958"/>
      <c r="E24" s="959"/>
      <c r="F24" s="960"/>
      <c r="G24" s="961"/>
      <c r="H24" s="3"/>
      <c r="I24" s="3"/>
    </row>
    <row r="25" spans="1:9" ht="19.5" customHeight="1">
      <c r="A25" s="416" t="s">
        <v>500</v>
      </c>
      <c r="B25" s="127"/>
      <c r="C25" s="491">
        <v>17</v>
      </c>
      <c r="D25" s="958"/>
      <c r="E25" s="959"/>
      <c r="F25" s="960"/>
      <c r="G25" s="961"/>
      <c r="H25" s="3"/>
      <c r="I25" s="3"/>
    </row>
    <row r="26" spans="1:9" ht="19.5" customHeight="1">
      <c r="A26" s="416" t="s">
        <v>501</v>
      </c>
      <c r="B26" s="127"/>
      <c r="C26" s="491">
        <v>18</v>
      </c>
      <c r="D26" s="958"/>
      <c r="E26" s="959"/>
      <c r="F26" s="960"/>
      <c r="G26" s="961"/>
      <c r="H26" s="3"/>
      <c r="I26" s="3"/>
    </row>
    <row r="27" spans="1:9" ht="19.5" customHeight="1" thickBot="1">
      <c r="A27" s="492" t="s">
        <v>502</v>
      </c>
      <c r="B27" s="124"/>
      <c r="C27" s="493" t="s">
        <v>503</v>
      </c>
      <c r="D27" s="962"/>
      <c r="E27" s="963"/>
      <c r="F27" s="964"/>
      <c r="G27" s="965"/>
      <c r="H27" s="3"/>
      <c r="I27" s="3"/>
    </row>
    <row r="28" spans="1:9" ht="15">
      <c r="A28" s="494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</sheetData>
  <mergeCells count="45">
    <mergeCell ref="F3:G3"/>
    <mergeCell ref="C4:D4"/>
    <mergeCell ref="F4:G4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3"/>
  <dimension ref="A1:P106"/>
  <sheetViews>
    <sheetView workbookViewId="0" topLeftCell="A5">
      <pane xSplit="3" ySplit="5" topLeftCell="D4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W49" sqref="W49"/>
    </sheetView>
  </sheetViews>
  <sheetFormatPr defaultColWidth="9.00390625" defaultRowHeight="14.25"/>
  <cols>
    <col min="1" max="1" width="7.125" style="0" customWidth="1"/>
    <col min="2" max="2" width="13.00390625" style="0" customWidth="1"/>
    <col min="3" max="3" width="3.50390625" style="0" customWidth="1"/>
    <col min="4" max="15" width="11.50390625" style="0" customWidth="1"/>
    <col min="16" max="16" width="4.00390625" style="0" customWidth="1"/>
    <col min="17" max="17" width="12.125" style="0" customWidth="1"/>
    <col min="18" max="18" width="1.4921875" style="0" customWidth="1"/>
    <col min="19" max="19" width="11.50390625" style="0" customWidth="1"/>
    <col min="20" max="20" width="12.125" style="0" customWidth="1"/>
    <col min="21" max="21" width="1.4921875" style="0" customWidth="1"/>
    <col min="22" max="22" width="11.50390625" style="0" customWidth="1"/>
    <col min="23" max="23" width="12.125" style="0" customWidth="1"/>
    <col min="24" max="24" width="1.4921875" style="0" customWidth="1"/>
    <col min="25" max="25" width="11.50390625" style="0" customWidth="1"/>
    <col min="26" max="26" width="12.125" style="0" customWidth="1"/>
    <col min="27" max="27" width="1.4921875" style="0" customWidth="1"/>
    <col min="28" max="28" width="13.00390625" style="0" customWidth="1"/>
    <col min="29" max="29" width="12.125" style="0" customWidth="1"/>
    <col min="30" max="30" width="1.4921875" style="0" customWidth="1"/>
    <col min="31" max="31" width="13.00390625" style="0" customWidth="1"/>
    <col min="32" max="32" width="12.125" style="0" customWidth="1"/>
    <col min="33" max="33" width="1.4921875" style="0" customWidth="1"/>
    <col min="34" max="34" width="11.50390625" style="0" customWidth="1"/>
  </cols>
  <sheetData>
    <row r="1" spans="1:16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0.25">
      <c r="A2" s="3"/>
      <c r="B2" s="3"/>
      <c r="C2" s="247" t="s">
        <v>988</v>
      </c>
      <c r="D2" s="83"/>
      <c r="E2" s="8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">
      <c r="A3" s="3"/>
      <c r="B3" s="3"/>
      <c r="C3" s="248"/>
      <c r="D3" s="83"/>
      <c r="E3" s="8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49"/>
      <c r="P4" s="3"/>
    </row>
    <row r="5" spans="1:16" s="14" customFormat="1" ht="16.5" thickBot="1">
      <c r="A5" s="15"/>
      <c r="B5" s="15"/>
      <c r="C5" s="15"/>
      <c r="D5" s="250">
        <v>1</v>
      </c>
      <c r="E5" s="251">
        <v>2</v>
      </c>
      <c r="F5" s="250">
        <v>3</v>
      </c>
      <c r="G5" s="250">
        <v>4</v>
      </c>
      <c r="H5" s="252">
        <v>5</v>
      </c>
      <c r="I5" s="252">
        <v>6</v>
      </c>
      <c r="J5" s="253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5"/>
    </row>
    <row r="6" spans="1:16" ht="15" thickTop="1">
      <c r="A6" s="973" t="s">
        <v>989</v>
      </c>
      <c r="B6" s="983" t="s">
        <v>990</v>
      </c>
      <c r="C6" s="978"/>
      <c r="D6" s="255">
        <v>38718</v>
      </c>
      <c r="E6" s="256">
        <v>38750</v>
      </c>
      <c r="F6" s="256">
        <v>38779</v>
      </c>
      <c r="G6" s="256">
        <v>38811</v>
      </c>
      <c r="H6" s="256">
        <v>38842</v>
      </c>
      <c r="I6" s="256">
        <v>38874</v>
      </c>
      <c r="J6" s="256">
        <v>38905</v>
      </c>
      <c r="K6" s="256">
        <v>38937</v>
      </c>
      <c r="L6" s="256">
        <v>38969</v>
      </c>
      <c r="M6" s="256">
        <v>39000</v>
      </c>
      <c r="N6" s="256">
        <v>39032</v>
      </c>
      <c r="O6" s="257">
        <v>39063</v>
      </c>
      <c r="P6" s="3"/>
    </row>
    <row r="7" spans="1:16" ht="15" thickBot="1">
      <c r="A7" s="974"/>
      <c r="B7" s="933"/>
      <c r="C7" s="979"/>
      <c r="D7" s="259" t="s">
        <v>763</v>
      </c>
      <c r="E7" s="260" t="s">
        <v>764</v>
      </c>
      <c r="F7" s="261" t="s">
        <v>765</v>
      </c>
      <c r="G7" s="260" t="s">
        <v>766</v>
      </c>
      <c r="H7" s="260" t="s">
        <v>767</v>
      </c>
      <c r="I7" s="260" t="s">
        <v>768</v>
      </c>
      <c r="J7" s="260" t="s">
        <v>769</v>
      </c>
      <c r="K7" s="260" t="s">
        <v>770</v>
      </c>
      <c r="L7" s="260" t="s">
        <v>771</v>
      </c>
      <c r="M7" s="260" t="s">
        <v>772</v>
      </c>
      <c r="N7" s="260" t="s">
        <v>773</v>
      </c>
      <c r="O7" s="262" t="s">
        <v>774</v>
      </c>
      <c r="P7" s="3"/>
    </row>
    <row r="8" spans="1:16" ht="15.75">
      <c r="A8" s="981" t="s">
        <v>991</v>
      </c>
      <c r="B8" s="933"/>
      <c r="C8" s="979"/>
      <c r="D8" s="263" t="s">
        <v>992</v>
      </c>
      <c r="E8" s="264" t="s">
        <v>992</v>
      </c>
      <c r="F8" s="264" t="s">
        <v>992</v>
      </c>
      <c r="G8" s="264" t="s">
        <v>992</v>
      </c>
      <c r="H8" s="264" t="s">
        <v>992</v>
      </c>
      <c r="I8" s="264" t="s">
        <v>992</v>
      </c>
      <c r="J8" s="264" t="s">
        <v>992</v>
      </c>
      <c r="K8" s="264" t="s">
        <v>992</v>
      </c>
      <c r="L8" s="264" t="s">
        <v>992</v>
      </c>
      <c r="M8" s="264" t="s">
        <v>992</v>
      </c>
      <c r="N8" s="264" t="s">
        <v>992</v>
      </c>
      <c r="O8" s="265" t="s">
        <v>992</v>
      </c>
      <c r="P8" s="3"/>
    </row>
    <row r="9" spans="1:16" ht="15" customHeight="1" thickBot="1">
      <c r="A9" s="982"/>
      <c r="B9" s="910"/>
      <c r="C9" s="980"/>
      <c r="D9" s="267" t="s">
        <v>993</v>
      </c>
      <c r="E9" s="268" t="s">
        <v>993</v>
      </c>
      <c r="F9" s="268" t="s">
        <v>993</v>
      </c>
      <c r="G9" s="268" t="s">
        <v>993</v>
      </c>
      <c r="H9" s="268" t="s">
        <v>993</v>
      </c>
      <c r="I9" s="268" t="s">
        <v>993</v>
      </c>
      <c r="J9" s="268" t="s">
        <v>993</v>
      </c>
      <c r="K9" s="268" t="s">
        <v>993</v>
      </c>
      <c r="L9" s="268" t="s">
        <v>993</v>
      </c>
      <c r="M9" s="268" t="s">
        <v>993</v>
      </c>
      <c r="N9" s="268" t="s">
        <v>993</v>
      </c>
      <c r="O9" s="269" t="s">
        <v>993</v>
      </c>
      <c r="P9" s="3"/>
    </row>
    <row r="10" spans="1:16" ht="15" thickTop="1">
      <c r="A10" s="270">
        <v>1</v>
      </c>
      <c r="B10" s="271" t="s">
        <v>713</v>
      </c>
      <c r="C10" s="272"/>
      <c r="D10" s="273">
        <f>'记账凭证汇总'!E109-'记账凭证汇总'!F109</f>
        <v>500</v>
      </c>
      <c r="E10" s="274">
        <f>'记账凭证汇总'!I109-'记账凭证汇总'!J109</f>
        <v>0</v>
      </c>
      <c r="F10" s="274">
        <f>'记账凭证汇总'!M109-'记账凭证汇总'!N109</f>
        <v>0</v>
      </c>
      <c r="G10" s="274">
        <f>'记账凭证汇总'!Q109-'记账凭证汇总'!R109</f>
        <v>0</v>
      </c>
      <c r="H10" s="275">
        <f>'记账凭证汇总'!U109-'记账凭证汇总'!V109</f>
        <v>0</v>
      </c>
      <c r="I10" s="275">
        <f>'记账凭证汇总'!Y109-'记账凭证汇总'!Z109</f>
        <v>0</v>
      </c>
      <c r="J10" s="275">
        <f>'记账凭证汇总'!AC109-'记账凭证汇总'!AD109</f>
        <v>0</v>
      </c>
      <c r="K10" s="275">
        <f>'记账凭证汇总'!AG109-'记账凭证汇总'!AH109</f>
        <v>0</v>
      </c>
      <c r="L10" s="275">
        <f>'记账凭证汇总'!AK109-'记账凭证汇总'!AL109</f>
        <v>0</v>
      </c>
      <c r="M10" s="275">
        <f>'记账凭证汇总'!AO109-'记账凭证汇总'!AP109</f>
        <v>0</v>
      </c>
      <c r="N10" s="275">
        <f>'记账凭证汇总'!AS109-'记账凭证汇总'!AT109</f>
        <v>0</v>
      </c>
      <c r="O10" s="276">
        <f>'记账凭证汇总'!AW109-'记账凭证汇总'!AX109</f>
        <v>0</v>
      </c>
      <c r="P10" s="3"/>
    </row>
    <row r="11" spans="1:16" ht="14.25">
      <c r="A11" s="277">
        <v>2</v>
      </c>
      <c r="B11" s="278" t="s">
        <v>520</v>
      </c>
      <c r="C11" s="71"/>
      <c r="D11" s="273">
        <f>'记账凭证汇总'!E110-'记账凭证汇总'!F110</f>
        <v>0</v>
      </c>
      <c r="E11" s="279">
        <f>'记账凭证汇总'!I110-'记账凭证汇总'!J110</f>
        <v>0</v>
      </c>
      <c r="F11" s="279">
        <f>'记账凭证汇总'!M110-'记账凭证汇总'!N110</f>
        <v>0</v>
      </c>
      <c r="G11" s="279">
        <f>'记账凭证汇总'!Q110-'记账凭证汇总'!R110</f>
        <v>0</v>
      </c>
      <c r="H11" s="163">
        <f>'记账凭证汇总'!U110-'记账凭证汇总'!V110</f>
        <v>0</v>
      </c>
      <c r="I11" s="163">
        <f>'记账凭证汇总'!Y110-'记账凭证汇总'!Z110</f>
        <v>0</v>
      </c>
      <c r="J11" s="163">
        <f>'记账凭证汇总'!AC110-'记账凭证汇总'!AD110</f>
        <v>0</v>
      </c>
      <c r="K11" s="163">
        <f>'记账凭证汇总'!AG110-'记账凭证汇总'!AH110</f>
        <v>0</v>
      </c>
      <c r="L11" s="163">
        <f>'记账凭证汇总'!AK110-'记账凭证汇总'!AL110</f>
        <v>0</v>
      </c>
      <c r="M11" s="163">
        <f>'记账凭证汇总'!AO110-'记账凭证汇总'!AP110</f>
        <v>0</v>
      </c>
      <c r="N11" s="163">
        <f>'记账凭证汇总'!AS110-'记账凭证汇总'!AT110</f>
        <v>0</v>
      </c>
      <c r="O11" s="164">
        <f>'记账凭证汇总'!AW110-'记账凭证汇总'!AX110</f>
        <v>0</v>
      </c>
      <c r="P11" s="3"/>
    </row>
    <row r="12" spans="1:16" ht="15">
      <c r="A12" s="277">
        <v>3</v>
      </c>
      <c r="B12" s="278" t="s">
        <v>29</v>
      </c>
      <c r="C12" s="54"/>
      <c r="D12" s="273">
        <f>'记账凭证汇总'!E111-'记账凭证汇总'!F111</f>
        <v>0</v>
      </c>
      <c r="E12" s="279">
        <f>'记账凭证汇总'!I111-'记账凭证汇总'!J111</f>
        <v>0</v>
      </c>
      <c r="F12" s="279">
        <f>'记账凭证汇总'!M111-'记账凭证汇总'!N111</f>
        <v>0</v>
      </c>
      <c r="G12" s="279">
        <f>'记账凭证汇总'!Q111-'记账凭证汇总'!R111</f>
        <v>0</v>
      </c>
      <c r="H12" s="163">
        <f>'记账凭证汇总'!U111-'记账凭证汇总'!V111</f>
        <v>0</v>
      </c>
      <c r="I12" s="163">
        <f>'记账凭证汇总'!Y111-'记账凭证汇总'!Z111</f>
        <v>0</v>
      </c>
      <c r="J12" s="163">
        <f>'记账凭证汇总'!AC111-'记账凭证汇总'!AD111</f>
        <v>0</v>
      </c>
      <c r="K12" s="163">
        <f>'记账凭证汇总'!AG111-'记账凭证汇总'!AH111</f>
        <v>0</v>
      </c>
      <c r="L12" s="163">
        <f>'记账凭证汇总'!AK111-'记账凭证汇总'!AL111</f>
        <v>0</v>
      </c>
      <c r="M12" s="163">
        <f>'记账凭证汇总'!AO111-'记账凭证汇总'!AP111</f>
        <v>0</v>
      </c>
      <c r="N12" s="163">
        <f>'记账凭证汇总'!AS111-'记账凭证汇总'!AT111</f>
        <v>0</v>
      </c>
      <c r="O12" s="164">
        <f>'记账凭证汇总'!AW111-'记账凭证汇总'!AX111</f>
        <v>0</v>
      </c>
      <c r="P12" s="3"/>
    </row>
    <row r="13" spans="1:16" ht="15">
      <c r="A13" s="277">
        <v>4</v>
      </c>
      <c r="B13" s="278" t="s">
        <v>27</v>
      </c>
      <c r="C13" s="54"/>
      <c r="D13" s="273">
        <f>'记账凭证汇总'!E112-'记账凭证汇总'!F112</f>
        <v>0</v>
      </c>
      <c r="E13" s="279">
        <f>'记账凭证汇总'!I112-'记账凭证汇总'!J112</f>
        <v>0</v>
      </c>
      <c r="F13" s="279">
        <f>'记账凭证汇总'!M112-'记账凭证汇总'!N112</f>
        <v>0</v>
      </c>
      <c r="G13" s="279">
        <f>'记账凭证汇总'!Q112-'记账凭证汇总'!R112</f>
        <v>0</v>
      </c>
      <c r="H13" s="163">
        <f>'记账凭证汇总'!U112-'记账凭证汇总'!V112</f>
        <v>0</v>
      </c>
      <c r="I13" s="163">
        <f>'记账凭证汇总'!Y112-'记账凭证汇总'!Z112</f>
        <v>0</v>
      </c>
      <c r="J13" s="163">
        <f>'记账凭证汇总'!AC112-'记账凭证汇总'!AD112</f>
        <v>0</v>
      </c>
      <c r="K13" s="163">
        <f>'记账凭证汇总'!AG112-'记账凭证汇总'!AH112</f>
        <v>0</v>
      </c>
      <c r="L13" s="163">
        <f>'记账凭证汇总'!AK112-'记账凭证汇总'!AL112</f>
        <v>0</v>
      </c>
      <c r="M13" s="163">
        <f>'记账凭证汇总'!AO112-'记账凭证汇总'!AP112</f>
        <v>0</v>
      </c>
      <c r="N13" s="163">
        <f>'记账凭证汇总'!AS112-'记账凭证汇总'!AT112</f>
        <v>0</v>
      </c>
      <c r="O13" s="164">
        <f>'记账凭证汇总'!AW112-'记账凭证汇总'!AX112</f>
        <v>0</v>
      </c>
      <c r="P13" s="3"/>
    </row>
    <row r="14" spans="1:16" ht="15">
      <c r="A14" s="277">
        <v>5</v>
      </c>
      <c r="B14" s="278" t="s">
        <v>1017</v>
      </c>
      <c r="C14" s="54"/>
      <c r="D14" s="273">
        <f>'记账凭证汇总'!E113-'记账凭证汇总'!F113</f>
        <v>0</v>
      </c>
      <c r="E14" s="279">
        <f>'记账凭证汇总'!I113-'记账凭证汇总'!J113</f>
        <v>0</v>
      </c>
      <c r="F14" s="279">
        <f>'记账凭证汇总'!M113-'记账凭证汇总'!N113</f>
        <v>0</v>
      </c>
      <c r="G14" s="279">
        <f>'记账凭证汇总'!Q113-'记账凭证汇总'!R113</f>
        <v>0</v>
      </c>
      <c r="H14" s="163">
        <f>'记账凭证汇总'!U113-'记账凭证汇总'!V113</f>
        <v>0</v>
      </c>
      <c r="I14" s="163">
        <f>'记账凭证汇总'!Y113-'记账凭证汇总'!Z113</f>
        <v>0</v>
      </c>
      <c r="J14" s="163">
        <f>'记账凭证汇总'!AC113-'记账凭证汇总'!AD113</f>
        <v>0</v>
      </c>
      <c r="K14" s="163">
        <f>'记账凭证汇总'!AG113-'记账凭证汇总'!AH113</f>
        <v>0</v>
      </c>
      <c r="L14" s="163">
        <f>'记账凭证汇总'!AK113-'记账凭证汇总'!AL113</f>
        <v>0</v>
      </c>
      <c r="M14" s="163">
        <f>'记账凭证汇总'!AO113-'记账凭证汇总'!AP113</f>
        <v>0</v>
      </c>
      <c r="N14" s="163">
        <f>'记账凭证汇总'!AS113-'记账凭证汇总'!AT113</f>
        <v>0</v>
      </c>
      <c r="O14" s="164">
        <f>'记账凭证汇总'!AW113-'记账凭证汇总'!AX113</f>
        <v>0</v>
      </c>
      <c r="P14" s="3"/>
    </row>
    <row r="15" spans="1:16" ht="15">
      <c r="A15" s="277">
        <v>6</v>
      </c>
      <c r="B15" s="278" t="s">
        <v>26</v>
      </c>
      <c r="C15" s="54"/>
      <c r="D15" s="273">
        <f>'记账凭证汇总'!E114-'记账凭证汇总'!F114</f>
        <v>0</v>
      </c>
      <c r="E15" s="279">
        <f>'记账凭证汇总'!I114-'记账凭证汇总'!J114</f>
        <v>0</v>
      </c>
      <c r="F15" s="279">
        <f>'记账凭证汇总'!M114-'记账凭证汇总'!N114</f>
        <v>0</v>
      </c>
      <c r="G15" s="279">
        <f>'记账凭证汇总'!Q114-'记账凭证汇总'!R114</f>
        <v>0</v>
      </c>
      <c r="H15" s="163">
        <f>'记账凭证汇总'!U114-'记账凭证汇总'!V114</f>
        <v>0</v>
      </c>
      <c r="I15" s="163">
        <f>'记账凭证汇总'!Y114-'记账凭证汇总'!Z114</f>
        <v>0</v>
      </c>
      <c r="J15" s="163">
        <f>'记账凭证汇总'!AC114-'记账凭证汇总'!AD114</f>
        <v>0</v>
      </c>
      <c r="K15" s="163">
        <f>'记账凭证汇总'!AG114-'记账凭证汇总'!AH114</f>
        <v>0</v>
      </c>
      <c r="L15" s="163">
        <f>'记账凭证汇总'!AK114-'记账凭证汇总'!AL114</f>
        <v>0</v>
      </c>
      <c r="M15" s="163">
        <f>'记账凭证汇总'!AO114-'记账凭证汇总'!AP114</f>
        <v>0</v>
      </c>
      <c r="N15" s="163">
        <f>'记账凭证汇总'!AS114-'记账凭证汇总'!AT114</f>
        <v>0</v>
      </c>
      <c r="O15" s="164">
        <f>'记账凭证汇总'!AW114-'记账凭证汇总'!AX114</f>
        <v>0</v>
      </c>
      <c r="P15" s="3"/>
    </row>
    <row r="16" spans="1:16" ht="15">
      <c r="A16" s="277">
        <v>7</v>
      </c>
      <c r="B16" s="278" t="s">
        <v>521</v>
      </c>
      <c r="C16" s="54"/>
      <c r="D16" s="273">
        <f>'记账凭证汇总'!E115-'记账凭证汇总'!F115</f>
        <v>0</v>
      </c>
      <c r="E16" s="279">
        <f>'记账凭证汇总'!I115-'记账凭证汇总'!J115</f>
        <v>0</v>
      </c>
      <c r="F16" s="279">
        <f>'记账凭证汇总'!M115-'记账凭证汇总'!N115</f>
        <v>0</v>
      </c>
      <c r="G16" s="279">
        <f>'记账凭证汇总'!Q115-'记账凭证汇总'!R115</f>
        <v>0</v>
      </c>
      <c r="H16" s="163">
        <f>'记账凭证汇总'!U115-'记账凭证汇总'!V115</f>
        <v>0</v>
      </c>
      <c r="I16" s="163">
        <f>'记账凭证汇总'!Y115-'记账凭证汇总'!Z115</f>
        <v>0</v>
      </c>
      <c r="J16" s="163">
        <f>'记账凭证汇总'!AC115-'记账凭证汇总'!AD115</f>
        <v>0</v>
      </c>
      <c r="K16" s="163">
        <f>'记账凭证汇总'!AG115-'记账凭证汇总'!AH115</f>
        <v>0</v>
      </c>
      <c r="L16" s="163">
        <f>'记账凭证汇总'!AK115-'记账凭证汇总'!AL115</f>
        <v>0</v>
      </c>
      <c r="M16" s="163">
        <f>'记账凭证汇总'!AO115-'记账凭证汇总'!AP115</f>
        <v>0</v>
      </c>
      <c r="N16" s="163">
        <f>'记账凭证汇总'!AS115-'记账凭证汇总'!AT115</f>
        <v>0</v>
      </c>
      <c r="O16" s="164">
        <f>'记账凭证汇总'!AW115-'记账凭证汇总'!AX115</f>
        <v>0</v>
      </c>
      <c r="P16" s="3"/>
    </row>
    <row r="17" spans="1:16" ht="15">
      <c r="A17" s="277">
        <v>8</v>
      </c>
      <c r="B17" s="278" t="s">
        <v>522</v>
      </c>
      <c r="C17" s="54"/>
      <c r="D17" s="273">
        <f>'记账凭证汇总'!E116-'记账凭证汇总'!F116</f>
        <v>0</v>
      </c>
      <c r="E17" s="279">
        <f>'记账凭证汇总'!I116-'记账凭证汇总'!J116</f>
        <v>0</v>
      </c>
      <c r="F17" s="279">
        <f>'记账凭证汇总'!M116-'记账凭证汇总'!N116</f>
        <v>0</v>
      </c>
      <c r="G17" s="279">
        <f>'记账凭证汇总'!Q116-'记账凭证汇总'!R116</f>
        <v>0</v>
      </c>
      <c r="H17" s="163">
        <f>'记账凭证汇总'!U116-'记账凭证汇总'!V116</f>
        <v>0</v>
      </c>
      <c r="I17" s="163">
        <f>'记账凭证汇总'!Y116-'记账凭证汇总'!Z116</f>
        <v>0</v>
      </c>
      <c r="J17" s="163">
        <f>'记账凭证汇总'!AC116-'记账凭证汇总'!AD116</f>
        <v>0</v>
      </c>
      <c r="K17" s="163">
        <f>'记账凭证汇总'!AG116-'记账凭证汇总'!AH116</f>
        <v>0</v>
      </c>
      <c r="L17" s="163">
        <f>'记账凭证汇总'!AK116-'记账凭证汇总'!AL116</f>
        <v>0</v>
      </c>
      <c r="M17" s="163">
        <f>'记账凭证汇总'!AO116-'记账凭证汇总'!AP116</f>
        <v>0</v>
      </c>
      <c r="N17" s="163">
        <f>'记账凭证汇总'!AS116-'记账凭证汇总'!AT116</f>
        <v>0</v>
      </c>
      <c r="O17" s="164">
        <f>'记账凭证汇总'!AW116-'记账凭证汇总'!AX116</f>
        <v>0</v>
      </c>
      <c r="P17" s="3"/>
    </row>
    <row r="18" spans="1:16" ht="14.25">
      <c r="A18" s="277">
        <v>9</v>
      </c>
      <c r="B18" s="278" t="s">
        <v>693</v>
      </c>
      <c r="C18" s="71"/>
      <c r="D18" s="273">
        <f>'记账凭证汇总'!E117-'记账凭证汇总'!F117</f>
        <v>0</v>
      </c>
      <c r="E18" s="279">
        <f>'记账凭证汇总'!I117-'记账凭证汇总'!J117</f>
        <v>0</v>
      </c>
      <c r="F18" s="279">
        <f>'记账凭证汇总'!M117-'记账凭证汇总'!N117</f>
        <v>0</v>
      </c>
      <c r="G18" s="279">
        <f>'记账凭证汇总'!Q117-'记账凭证汇总'!R117</f>
        <v>0</v>
      </c>
      <c r="H18" s="163">
        <f>'记账凭证汇总'!U117-'记账凭证汇总'!V117</f>
        <v>0</v>
      </c>
      <c r="I18" s="163">
        <f>'记账凭证汇总'!Y117-'记账凭证汇总'!Z117</f>
        <v>0</v>
      </c>
      <c r="J18" s="163">
        <f>'记账凭证汇总'!AC117-'记账凭证汇总'!AD117</f>
        <v>0</v>
      </c>
      <c r="K18" s="163">
        <f>'记账凭证汇总'!AG117-'记账凭证汇总'!AH117</f>
        <v>0</v>
      </c>
      <c r="L18" s="163">
        <f>'记账凭证汇总'!AK117-'记账凭证汇总'!AL117</f>
        <v>0</v>
      </c>
      <c r="M18" s="163">
        <f>'记账凭证汇总'!AO117-'记账凭证汇总'!AP117</f>
        <v>0</v>
      </c>
      <c r="N18" s="163">
        <f>'记账凭证汇总'!AS117-'记账凭证汇总'!AT117</f>
        <v>0</v>
      </c>
      <c r="O18" s="164">
        <f>'记账凭证汇总'!AW117-'记账凭证汇总'!AX117</f>
        <v>0</v>
      </c>
      <c r="P18" s="3"/>
    </row>
    <row r="19" spans="1:16" ht="14.25">
      <c r="A19" s="277">
        <v>10</v>
      </c>
      <c r="B19" s="278" t="s">
        <v>1019</v>
      </c>
      <c r="C19" s="71"/>
      <c r="D19" s="273">
        <f>'记账凭证汇总'!E118-'记账凭证汇总'!F118</f>
        <v>0</v>
      </c>
      <c r="E19" s="279">
        <f>'记账凭证汇总'!I118-'记账凭证汇总'!J118</f>
        <v>0</v>
      </c>
      <c r="F19" s="279">
        <f>'记账凭证汇总'!M118-'记账凭证汇总'!N118</f>
        <v>0</v>
      </c>
      <c r="G19" s="279">
        <f>'记账凭证汇总'!Q118-'记账凭证汇总'!R118</f>
        <v>0</v>
      </c>
      <c r="H19" s="163">
        <f>'记账凭证汇总'!U118-'记账凭证汇总'!V118</f>
        <v>0</v>
      </c>
      <c r="I19" s="163">
        <f>'记账凭证汇总'!Y118-'记账凭证汇总'!Z118</f>
        <v>0</v>
      </c>
      <c r="J19" s="163">
        <f>'记账凭证汇总'!AC118-'记账凭证汇总'!AD118</f>
        <v>0</v>
      </c>
      <c r="K19" s="163">
        <f>'记账凭证汇总'!AG118-'记账凭证汇总'!AH118</f>
        <v>0</v>
      </c>
      <c r="L19" s="163">
        <f>'记账凭证汇总'!AK118-'记账凭证汇总'!AL118</f>
        <v>0</v>
      </c>
      <c r="M19" s="163">
        <f>'记账凭证汇总'!AO118-'记账凭证汇总'!AP118</f>
        <v>0</v>
      </c>
      <c r="N19" s="163">
        <f>'记账凭证汇总'!AS118-'记账凭证汇总'!AT118</f>
        <v>0</v>
      </c>
      <c r="O19" s="164">
        <f>'记账凭证汇总'!AW118-'记账凭证汇总'!AX118</f>
        <v>0</v>
      </c>
      <c r="P19" s="3"/>
    </row>
    <row r="20" spans="1:16" ht="15">
      <c r="A20" s="277">
        <v>11</v>
      </c>
      <c r="B20" s="278"/>
      <c r="C20" s="54"/>
      <c r="D20" s="273"/>
      <c r="E20" s="279"/>
      <c r="F20" s="279"/>
      <c r="G20" s="279"/>
      <c r="H20" s="163"/>
      <c r="I20" s="163"/>
      <c r="J20" s="163"/>
      <c r="K20" s="163"/>
      <c r="L20" s="163"/>
      <c r="M20" s="163"/>
      <c r="N20" s="163"/>
      <c r="O20" s="164"/>
      <c r="P20" s="3"/>
    </row>
    <row r="21" spans="1:16" ht="15" hidden="1">
      <c r="A21" s="277">
        <v>12</v>
      </c>
      <c r="B21" s="278"/>
      <c r="C21" s="54"/>
      <c r="D21" s="273"/>
      <c r="E21" s="279"/>
      <c r="F21" s="279"/>
      <c r="G21" s="279"/>
      <c r="H21" s="163"/>
      <c r="I21" s="163"/>
      <c r="J21" s="163"/>
      <c r="K21" s="163"/>
      <c r="L21" s="163"/>
      <c r="M21" s="163"/>
      <c r="N21" s="163"/>
      <c r="O21" s="164"/>
      <c r="P21" s="3"/>
    </row>
    <row r="22" spans="1:16" ht="15" hidden="1">
      <c r="A22" s="277">
        <v>13</v>
      </c>
      <c r="B22" s="278"/>
      <c r="C22" s="54"/>
      <c r="D22" s="273"/>
      <c r="E22" s="279"/>
      <c r="F22" s="279"/>
      <c r="G22" s="279"/>
      <c r="H22" s="163"/>
      <c r="I22" s="163"/>
      <c r="J22" s="163"/>
      <c r="K22" s="163"/>
      <c r="L22" s="163"/>
      <c r="M22" s="163"/>
      <c r="N22" s="163"/>
      <c r="O22" s="164"/>
      <c r="P22" s="3"/>
    </row>
    <row r="23" spans="1:16" ht="15" hidden="1">
      <c r="A23" s="277">
        <v>14</v>
      </c>
      <c r="B23" s="278"/>
      <c r="C23" s="54"/>
      <c r="D23" s="273"/>
      <c r="E23" s="279"/>
      <c r="F23" s="279"/>
      <c r="G23" s="279"/>
      <c r="H23" s="163"/>
      <c r="I23" s="163"/>
      <c r="J23" s="163"/>
      <c r="K23" s="163"/>
      <c r="L23" s="163"/>
      <c r="M23" s="163"/>
      <c r="N23" s="163"/>
      <c r="O23" s="164"/>
      <c r="P23" s="3"/>
    </row>
    <row r="24" spans="1:16" ht="15" hidden="1">
      <c r="A24" s="277">
        <v>15</v>
      </c>
      <c r="B24" s="278"/>
      <c r="C24" s="54"/>
      <c r="D24" s="273"/>
      <c r="E24" s="279"/>
      <c r="F24" s="279"/>
      <c r="G24" s="279"/>
      <c r="H24" s="163"/>
      <c r="I24" s="163"/>
      <c r="J24" s="163"/>
      <c r="K24" s="163"/>
      <c r="L24" s="163"/>
      <c r="M24" s="163"/>
      <c r="N24" s="163"/>
      <c r="O24" s="164"/>
      <c r="P24" s="3"/>
    </row>
    <row r="25" spans="1:16" ht="15" hidden="1">
      <c r="A25" s="277">
        <v>16</v>
      </c>
      <c r="B25" s="278"/>
      <c r="C25" s="54"/>
      <c r="D25" s="273"/>
      <c r="E25" s="279"/>
      <c r="F25" s="279"/>
      <c r="G25" s="279"/>
      <c r="H25" s="163"/>
      <c r="I25" s="163"/>
      <c r="J25" s="163"/>
      <c r="K25" s="163"/>
      <c r="L25" s="163"/>
      <c r="M25" s="163"/>
      <c r="N25" s="163"/>
      <c r="O25" s="164"/>
      <c r="P25" s="3"/>
    </row>
    <row r="26" spans="1:16" ht="15" hidden="1">
      <c r="A26" s="277">
        <v>17</v>
      </c>
      <c r="B26" s="278"/>
      <c r="C26" s="54"/>
      <c r="D26" s="273"/>
      <c r="E26" s="279"/>
      <c r="F26" s="279"/>
      <c r="G26" s="279"/>
      <c r="H26" s="163"/>
      <c r="I26" s="163"/>
      <c r="J26" s="163"/>
      <c r="K26" s="163"/>
      <c r="L26" s="163"/>
      <c r="M26" s="163"/>
      <c r="N26" s="163"/>
      <c r="O26" s="164"/>
      <c r="P26" s="3"/>
    </row>
    <row r="27" spans="1:16" ht="15" hidden="1">
      <c r="A27" s="277">
        <v>18</v>
      </c>
      <c r="B27" s="278"/>
      <c r="C27" s="54"/>
      <c r="D27" s="273"/>
      <c r="E27" s="279"/>
      <c r="F27" s="279"/>
      <c r="G27" s="279"/>
      <c r="H27" s="163"/>
      <c r="I27" s="163"/>
      <c r="J27" s="163"/>
      <c r="K27" s="163"/>
      <c r="L27" s="163"/>
      <c r="M27" s="163"/>
      <c r="N27" s="163"/>
      <c r="O27" s="164"/>
      <c r="P27" s="3"/>
    </row>
    <row r="28" spans="1:16" ht="14.25" hidden="1">
      <c r="A28" s="277">
        <v>19</v>
      </c>
      <c r="B28" s="278"/>
      <c r="C28" s="71"/>
      <c r="D28" s="273"/>
      <c r="E28" s="279"/>
      <c r="F28" s="279"/>
      <c r="G28" s="279"/>
      <c r="H28" s="163"/>
      <c r="I28" s="163"/>
      <c r="J28" s="163"/>
      <c r="K28" s="163"/>
      <c r="L28" s="163"/>
      <c r="M28" s="163"/>
      <c r="N28" s="163"/>
      <c r="O28" s="164"/>
      <c r="P28" s="3"/>
    </row>
    <row r="29" spans="1:16" ht="14.25" hidden="1">
      <c r="A29" s="277">
        <v>20</v>
      </c>
      <c r="B29" s="278"/>
      <c r="C29" s="71"/>
      <c r="D29" s="273"/>
      <c r="E29" s="279"/>
      <c r="F29" s="279"/>
      <c r="G29" s="279"/>
      <c r="H29" s="163"/>
      <c r="I29" s="163"/>
      <c r="J29" s="163"/>
      <c r="K29" s="163"/>
      <c r="L29" s="163"/>
      <c r="M29" s="163"/>
      <c r="N29" s="163"/>
      <c r="O29" s="164"/>
      <c r="P29" s="3"/>
    </row>
    <row r="30" spans="1:16" ht="14.25" hidden="1">
      <c r="A30" s="277">
        <v>21</v>
      </c>
      <c r="B30" s="278"/>
      <c r="C30" s="71"/>
      <c r="D30" s="273"/>
      <c r="E30" s="279"/>
      <c r="F30" s="279"/>
      <c r="G30" s="279"/>
      <c r="H30" s="163"/>
      <c r="I30" s="163"/>
      <c r="J30" s="163"/>
      <c r="K30" s="163"/>
      <c r="L30" s="163"/>
      <c r="M30" s="163"/>
      <c r="N30" s="163"/>
      <c r="O30" s="164"/>
      <c r="P30" s="3"/>
    </row>
    <row r="31" spans="1:16" ht="14.25" hidden="1">
      <c r="A31" s="277">
        <v>22</v>
      </c>
      <c r="B31" s="278"/>
      <c r="C31" s="71"/>
      <c r="D31" s="273"/>
      <c r="E31" s="279"/>
      <c r="F31" s="279"/>
      <c r="G31" s="279"/>
      <c r="H31" s="163"/>
      <c r="I31" s="163"/>
      <c r="J31" s="163"/>
      <c r="K31" s="163"/>
      <c r="L31" s="163"/>
      <c r="M31" s="163"/>
      <c r="N31" s="163"/>
      <c r="O31" s="164"/>
      <c r="P31" s="3"/>
    </row>
    <row r="32" spans="1:16" ht="14.25" hidden="1">
      <c r="A32" s="277">
        <v>23</v>
      </c>
      <c r="B32" s="278"/>
      <c r="C32" s="71"/>
      <c r="D32" s="273"/>
      <c r="E32" s="279"/>
      <c r="F32" s="279"/>
      <c r="G32" s="279"/>
      <c r="H32" s="163"/>
      <c r="I32" s="163"/>
      <c r="J32" s="163"/>
      <c r="K32" s="163"/>
      <c r="L32" s="163"/>
      <c r="M32" s="163"/>
      <c r="N32" s="163"/>
      <c r="O32" s="164"/>
      <c r="P32" s="3"/>
    </row>
    <row r="33" spans="1:16" ht="15" hidden="1">
      <c r="A33" s="277">
        <v>24</v>
      </c>
      <c r="B33" s="278"/>
      <c r="C33" s="54"/>
      <c r="D33" s="273"/>
      <c r="E33" s="279"/>
      <c r="F33" s="279"/>
      <c r="G33" s="279"/>
      <c r="H33" s="163"/>
      <c r="I33" s="163"/>
      <c r="J33" s="163"/>
      <c r="K33" s="163"/>
      <c r="L33" s="163"/>
      <c r="M33" s="163"/>
      <c r="N33" s="163"/>
      <c r="O33" s="164"/>
      <c r="P33" s="3"/>
    </row>
    <row r="34" spans="1:16" ht="14.25" hidden="1">
      <c r="A34" s="277">
        <v>25</v>
      </c>
      <c r="B34" s="280"/>
      <c r="C34" s="71"/>
      <c r="D34" s="281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P34" s="3"/>
    </row>
    <row r="35" spans="1:16" ht="15" hidden="1">
      <c r="A35" s="277">
        <v>26</v>
      </c>
      <c r="B35" s="280"/>
      <c r="C35" s="54"/>
      <c r="D35" s="281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P35" s="3"/>
    </row>
    <row r="36" spans="1:16" ht="14.25" hidden="1">
      <c r="A36" s="282">
        <v>27</v>
      </c>
      <c r="B36" s="283"/>
      <c r="C36" s="71"/>
      <c r="D36" s="281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  <c r="P36" s="3"/>
    </row>
    <row r="37" spans="1:16" ht="14.25" hidden="1">
      <c r="A37" s="282">
        <v>28</v>
      </c>
      <c r="B37" s="283"/>
      <c r="C37" s="71"/>
      <c r="D37" s="281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4"/>
      <c r="P37" s="3"/>
    </row>
    <row r="38" spans="1:16" ht="15.75" thickBot="1">
      <c r="A38" s="284">
        <v>29</v>
      </c>
      <c r="B38" s="285" t="s">
        <v>994</v>
      </c>
      <c r="C38" s="286" t="s">
        <v>995</v>
      </c>
      <c r="D38" s="287">
        <f aca="true" t="shared" si="0" ref="D38:O38">SUM(D10:D37)</f>
        <v>500</v>
      </c>
      <c r="E38" s="288">
        <f t="shared" si="0"/>
        <v>0</v>
      </c>
      <c r="F38" s="288">
        <f t="shared" si="0"/>
        <v>0</v>
      </c>
      <c r="G38" s="288">
        <f t="shared" si="0"/>
        <v>0</v>
      </c>
      <c r="H38" s="288">
        <f t="shared" si="0"/>
        <v>0</v>
      </c>
      <c r="I38" s="288">
        <f t="shared" si="0"/>
        <v>0</v>
      </c>
      <c r="J38" s="288">
        <f t="shared" si="0"/>
        <v>0</v>
      </c>
      <c r="K38" s="288">
        <f t="shared" si="0"/>
        <v>0</v>
      </c>
      <c r="L38" s="288">
        <f t="shared" si="0"/>
        <v>0</v>
      </c>
      <c r="M38" s="288">
        <f t="shared" si="0"/>
        <v>0</v>
      </c>
      <c r="N38" s="288">
        <f t="shared" si="0"/>
        <v>0</v>
      </c>
      <c r="O38" s="289">
        <f t="shared" si="0"/>
        <v>0</v>
      </c>
      <c r="P38" s="3"/>
    </row>
    <row r="39" spans="1:16" ht="16.5" thickBot="1" thickTop="1">
      <c r="A39" s="797" t="s">
        <v>433</v>
      </c>
      <c r="B39" s="798"/>
      <c r="C39" s="799"/>
      <c r="P39" s="3"/>
    </row>
    <row r="40" spans="1:16" ht="15" thickTop="1">
      <c r="A40" s="973" t="s">
        <v>989</v>
      </c>
      <c r="B40" s="975" t="s">
        <v>990</v>
      </c>
      <c r="C40" s="978"/>
      <c r="D40" s="290" t="s">
        <v>996</v>
      </c>
      <c r="E40" s="160" t="s">
        <v>997</v>
      </c>
      <c r="F40" s="291" t="s">
        <v>998</v>
      </c>
      <c r="G40" s="160" t="s">
        <v>999</v>
      </c>
      <c r="H40" s="160" t="s">
        <v>1000</v>
      </c>
      <c r="I40" s="160" t="s">
        <v>1001</v>
      </c>
      <c r="J40" s="160" t="s">
        <v>1002</v>
      </c>
      <c r="K40" s="160" t="s">
        <v>1003</v>
      </c>
      <c r="L40" s="160" t="s">
        <v>1004</v>
      </c>
      <c r="M40" s="160" t="s">
        <v>1005</v>
      </c>
      <c r="N40" s="160" t="s">
        <v>1006</v>
      </c>
      <c r="O40" s="292" t="s">
        <v>1007</v>
      </c>
      <c r="P40" s="3"/>
    </row>
    <row r="41" spans="1:16" ht="15" thickBot="1">
      <c r="A41" s="974"/>
      <c r="B41" s="976"/>
      <c r="C41" s="979"/>
      <c r="D41" s="259" t="s">
        <v>763</v>
      </c>
      <c r="E41" s="260" t="s">
        <v>764</v>
      </c>
      <c r="F41" s="261" t="s">
        <v>765</v>
      </c>
      <c r="G41" s="260" t="s">
        <v>766</v>
      </c>
      <c r="H41" s="260" t="s">
        <v>767</v>
      </c>
      <c r="I41" s="260" t="s">
        <v>768</v>
      </c>
      <c r="J41" s="260" t="s">
        <v>769</v>
      </c>
      <c r="K41" s="260" t="s">
        <v>770</v>
      </c>
      <c r="L41" s="260" t="s">
        <v>771</v>
      </c>
      <c r="M41" s="260" t="s">
        <v>772</v>
      </c>
      <c r="N41" s="260" t="s">
        <v>773</v>
      </c>
      <c r="O41" s="262" t="s">
        <v>774</v>
      </c>
      <c r="P41" s="3"/>
    </row>
    <row r="42" spans="1:16" ht="15.75">
      <c r="A42" s="981" t="s">
        <v>991</v>
      </c>
      <c r="B42" s="976"/>
      <c r="C42" s="979"/>
      <c r="D42" s="263" t="s">
        <v>1008</v>
      </c>
      <c r="E42" s="264" t="s">
        <v>1008</v>
      </c>
      <c r="F42" s="264" t="s">
        <v>1008</v>
      </c>
      <c r="G42" s="264" t="s">
        <v>1008</v>
      </c>
      <c r="H42" s="264" t="s">
        <v>1008</v>
      </c>
      <c r="I42" s="264" t="s">
        <v>1008</v>
      </c>
      <c r="J42" s="264" t="s">
        <v>1008</v>
      </c>
      <c r="K42" s="264" t="s">
        <v>1008</v>
      </c>
      <c r="L42" s="264" t="s">
        <v>1008</v>
      </c>
      <c r="M42" s="264" t="s">
        <v>1008</v>
      </c>
      <c r="N42" s="264" t="s">
        <v>1008</v>
      </c>
      <c r="O42" s="265" t="s">
        <v>1008</v>
      </c>
      <c r="P42" s="3"/>
    </row>
    <row r="43" spans="1:16" ht="15" thickBot="1">
      <c r="A43" s="982"/>
      <c r="B43" s="977"/>
      <c r="C43" s="980"/>
      <c r="D43" s="293" t="s">
        <v>987</v>
      </c>
      <c r="E43" s="294" t="s">
        <v>987</v>
      </c>
      <c r="F43" s="294" t="s">
        <v>987</v>
      </c>
      <c r="G43" s="294" t="s">
        <v>987</v>
      </c>
      <c r="H43" s="294" t="s">
        <v>987</v>
      </c>
      <c r="I43" s="294" t="s">
        <v>987</v>
      </c>
      <c r="J43" s="294" t="s">
        <v>987</v>
      </c>
      <c r="K43" s="294" t="s">
        <v>987</v>
      </c>
      <c r="L43" s="294" t="s">
        <v>987</v>
      </c>
      <c r="M43" s="294" t="s">
        <v>987</v>
      </c>
      <c r="N43" s="294" t="s">
        <v>987</v>
      </c>
      <c r="O43" s="295" t="s">
        <v>987</v>
      </c>
      <c r="P43" s="3"/>
    </row>
    <row r="44" spans="1:16" ht="15" thickTop="1">
      <c r="A44" s="270">
        <v>1</v>
      </c>
      <c r="B44" s="271" t="str">
        <f>B10</f>
        <v>工资</v>
      </c>
      <c r="C44" s="272"/>
      <c r="D44" s="296">
        <f aca="true" t="shared" si="1" ref="D44:D71">D10</f>
        <v>500</v>
      </c>
      <c r="E44" s="297">
        <f aca="true" t="shared" si="2" ref="E44:O59">D44+E10</f>
        <v>500</v>
      </c>
      <c r="F44" s="297">
        <f t="shared" si="2"/>
        <v>500</v>
      </c>
      <c r="G44" s="297">
        <f t="shared" si="2"/>
        <v>500</v>
      </c>
      <c r="H44" s="297">
        <f t="shared" si="2"/>
        <v>500</v>
      </c>
      <c r="I44" s="297">
        <f t="shared" si="2"/>
        <v>500</v>
      </c>
      <c r="J44" s="297">
        <f t="shared" si="2"/>
        <v>500</v>
      </c>
      <c r="K44" s="297">
        <f t="shared" si="2"/>
        <v>500</v>
      </c>
      <c r="L44" s="297">
        <f t="shared" si="2"/>
        <v>500</v>
      </c>
      <c r="M44" s="297">
        <f t="shared" si="2"/>
        <v>500</v>
      </c>
      <c r="N44" s="297">
        <f t="shared" si="2"/>
        <v>500</v>
      </c>
      <c r="O44" s="298">
        <f t="shared" si="2"/>
        <v>500</v>
      </c>
      <c r="P44" s="3"/>
    </row>
    <row r="45" spans="1:16" ht="14.25">
      <c r="A45" s="277">
        <v>2</v>
      </c>
      <c r="B45" s="278" t="str">
        <f>B11</f>
        <v>福利费</v>
      </c>
      <c r="C45" s="71"/>
      <c r="D45" s="169">
        <f t="shared" si="1"/>
        <v>0</v>
      </c>
      <c r="E45" s="157">
        <f t="shared" si="2"/>
        <v>0</v>
      </c>
      <c r="F45" s="157">
        <f t="shared" si="2"/>
        <v>0</v>
      </c>
      <c r="G45" s="157">
        <f t="shared" si="2"/>
        <v>0</v>
      </c>
      <c r="H45" s="157">
        <f t="shared" si="2"/>
        <v>0</v>
      </c>
      <c r="I45" s="157">
        <f t="shared" si="2"/>
        <v>0</v>
      </c>
      <c r="J45" s="157">
        <f t="shared" si="2"/>
        <v>0</v>
      </c>
      <c r="K45" s="157">
        <f t="shared" si="2"/>
        <v>0</v>
      </c>
      <c r="L45" s="157">
        <f t="shared" si="2"/>
        <v>0</v>
      </c>
      <c r="M45" s="157">
        <f t="shared" si="2"/>
        <v>0</v>
      </c>
      <c r="N45" s="157">
        <f t="shared" si="2"/>
        <v>0</v>
      </c>
      <c r="O45" s="158">
        <f t="shared" si="2"/>
        <v>0</v>
      </c>
      <c r="P45" s="3"/>
    </row>
    <row r="46" spans="1:16" ht="15">
      <c r="A46" s="277">
        <v>3</v>
      </c>
      <c r="B46" s="278" t="str">
        <f aca="true" t="shared" si="3" ref="B46:B53">B12</f>
        <v>折旧费</v>
      </c>
      <c r="C46" s="54"/>
      <c r="D46" s="169">
        <f t="shared" si="1"/>
        <v>0</v>
      </c>
      <c r="E46" s="157">
        <f t="shared" si="2"/>
        <v>0</v>
      </c>
      <c r="F46" s="157">
        <f t="shared" si="2"/>
        <v>0</v>
      </c>
      <c r="G46" s="157">
        <f t="shared" si="2"/>
        <v>0</v>
      </c>
      <c r="H46" s="157">
        <f t="shared" si="2"/>
        <v>0</v>
      </c>
      <c r="I46" s="157">
        <f t="shared" si="2"/>
        <v>0</v>
      </c>
      <c r="J46" s="157">
        <f t="shared" si="2"/>
        <v>0</v>
      </c>
      <c r="K46" s="157">
        <f t="shared" si="2"/>
        <v>0</v>
      </c>
      <c r="L46" s="157">
        <f t="shared" si="2"/>
        <v>0</v>
      </c>
      <c r="M46" s="157">
        <f t="shared" si="2"/>
        <v>0</v>
      </c>
      <c r="N46" s="157">
        <f t="shared" si="2"/>
        <v>0</v>
      </c>
      <c r="O46" s="158">
        <f t="shared" si="2"/>
        <v>0</v>
      </c>
      <c r="P46" s="3"/>
    </row>
    <row r="47" spans="1:16" ht="15">
      <c r="A47" s="277">
        <v>4</v>
      </c>
      <c r="B47" s="278" t="str">
        <f t="shared" si="3"/>
        <v>修理费</v>
      </c>
      <c r="C47" s="54"/>
      <c r="D47" s="169">
        <f t="shared" si="1"/>
        <v>0</v>
      </c>
      <c r="E47" s="157">
        <f t="shared" si="2"/>
        <v>0</v>
      </c>
      <c r="F47" s="157">
        <f t="shared" si="2"/>
        <v>0</v>
      </c>
      <c r="G47" s="157">
        <f t="shared" si="2"/>
        <v>0</v>
      </c>
      <c r="H47" s="157">
        <f t="shared" si="2"/>
        <v>0</v>
      </c>
      <c r="I47" s="157">
        <f t="shared" si="2"/>
        <v>0</v>
      </c>
      <c r="J47" s="157">
        <f t="shared" si="2"/>
        <v>0</v>
      </c>
      <c r="K47" s="157">
        <f t="shared" si="2"/>
        <v>0</v>
      </c>
      <c r="L47" s="157">
        <f t="shared" si="2"/>
        <v>0</v>
      </c>
      <c r="M47" s="157">
        <f t="shared" si="2"/>
        <v>0</v>
      </c>
      <c r="N47" s="157">
        <f t="shared" si="2"/>
        <v>0</v>
      </c>
      <c r="O47" s="158">
        <f t="shared" si="2"/>
        <v>0</v>
      </c>
      <c r="P47" s="3"/>
    </row>
    <row r="48" spans="1:16" ht="15">
      <c r="A48" s="277">
        <v>5</v>
      </c>
      <c r="B48" s="278" t="str">
        <f t="shared" si="3"/>
        <v>办公费</v>
      </c>
      <c r="C48" s="54"/>
      <c r="D48" s="169">
        <f t="shared" si="1"/>
        <v>0</v>
      </c>
      <c r="E48" s="157">
        <f t="shared" si="2"/>
        <v>0</v>
      </c>
      <c r="F48" s="157">
        <f t="shared" si="2"/>
        <v>0</v>
      </c>
      <c r="G48" s="157">
        <f t="shared" si="2"/>
        <v>0</v>
      </c>
      <c r="H48" s="157">
        <f t="shared" si="2"/>
        <v>0</v>
      </c>
      <c r="I48" s="157">
        <f t="shared" si="2"/>
        <v>0</v>
      </c>
      <c r="J48" s="157">
        <f t="shared" si="2"/>
        <v>0</v>
      </c>
      <c r="K48" s="157">
        <f t="shared" si="2"/>
        <v>0</v>
      </c>
      <c r="L48" s="157">
        <f t="shared" si="2"/>
        <v>0</v>
      </c>
      <c r="M48" s="157">
        <f t="shared" si="2"/>
        <v>0</v>
      </c>
      <c r="N48" s="157">
        <f t="shared" si="2"/>
        <v>0</v>
      </c>
      <c r="O48" s="158">
        <f t="shared" si="2"/>
        <v>0</v>
      </c>
      <c r="P48" s="3"/>
    </row>
    <row r="49" spans="1:16" ht="15">
      <c r="A49" s="277">
        <v>6</v>
      </c>
      <c r="B49" s="278" t="str">
        <f t="shared" si="3"/>
        <v>水电费</v>
      </c>
      <c r="C49" s="54"/>
      <c r="D49" s="169">
        <f t="shared" si="1"/>
        <v>0</v>
      </c>
      <c r="E49" s="157">
        <f t="shared" si="2"/>
        <v>0</v>
      </c>
      <c r="F49" s="157">
        <f t="shared" si="2"/>
        <v>0</v>
      </c>
      <c r="G49" s="157">
        <f t="shared" si="2"/>
        <v>0</v>
      </c>
      <c r="H49" s="157">
        <f t="shared" si="2"/>
        <v>0</v>
      </c>
      <c r="I49" s="157">
        <f t="shared" si="2"/>
        <v>0</v>
      </c>
      <c r="J49" s="157">
        <f t="shared" si="2"/>
        <v>0</v>
      </c>
      <c r="K49" s="157">
        <f t="shared" si="2"/>
        <v>0</v>
      </c>
      <c r="L49" s="157">
        <f t="shared" si="2"/>
        <v>0</v>
      </c>
      <c r="M49" s="157">
        <f t="shared" si="2"/>
        <v>0</v>
      </c>
      <c r="N49" s="157">
        <f t="shared" si="2"/>
        <v>0</v>
      </c>
      <c r="O49" s="158">
        <f t="shared" si="2"/>
        <v>0</v>
      </c>
      <c r="P49" s="3"/>
    </row>
    <row r="50" spans="1:16" ht="15">
      <c r="A50" s="277">
        <v>7</v>
      </c>
      <c r="B50" s="278" t="str">
        <f t="shared" si="3"/>
        <v>机物料消耗</v>
      </c>
      <c r="C50" s="54"/>
      <c r="D50" s="169">
        <f t="shared" si="1"/>
        <v>0</v>
      </c>
      <c r="E50" s="157">
        <f t="shared" si="2"/>
        <v>0</v>
      </c>
      <c r="F50" s="157">
        <f t="shared" si="2"/>
        <v>0</v>
      </c>
      <c r="G50" s="157">
        <f t="shared" si="2"/>
        <v>0</v>
      </c>
      <c r="H50" s="157">
        <f t="shared" si="2"/>
        <v>0</v>
      </c>
      <c r="I50" s="157">
        <f t="shared" si="2"/>
        <v>0</v>
      </c>
      <c r="J50" s="157">
        <f t="shared" si="2"/>
        <v>0</v>
      </c>
      <c r="K50" s="157">
        <f t="shared" si="2"/>
        <v>0</v>
      </c>
      <c r="L50" s="157">
        <f t="shared" si="2"/>
        <v>0</v>
      </c>
      <c r="M50" s="157">
        <f t="shared" si="2"/>
        <v>0</v>
      </c>
      <c r="N50" s="157">
        <f t="shared" si="2"/>
        <v>0</v>
      </c>
      <c r="O50" s="158">
        <f t="shared" si="2"/>
        <v>0</v>
      </c>
      <c r="P50" s="3"/>
    </row>
    <row r="51" spans="1:16" ht="15">
      <c r="A51" s="277">
        <v>8</v>
      </c>
      <c r="B51" s="278" t="str">
        <f t="shared" si="3"/>
        <v>劳动保护费</v>
      </c>
      <c r="C51" s="54"/>
      <c r="D51" s="162">
        <f t="shared" si="1"/>
        <v>0</v>
      </c>
      <c r="E51" s="163">
        <f t="shared" si="2"/>
        <v>0</v>
      </c>
      <c r="F51" s="163">
        <f t="shared" si="2"/>
        <v>0</v>
      </c>
      <c r="G51" s="163">
        <f t="shared" si="2"/>
        <v>0</v>
      </c>
      <c r="H51" s="163">
        <f t="shared" si="2"/>
        <v>0</v>
      </c>
      <c r="I51" s="163">
        <f t="shared" si="2"/>
        <v>0</v>
      </c>
      <c r="J51" s="163">
        <f t="shared" si="2"/>
        <v>0</v>
      </c>
      <c r="K51" s="163">
        <f t="shared" si="2"/>
        <v>0</v>
      </c>
      <c r="L51" s="163">
        <f t="shared" si="2"/>
        <v>0</v>
      </c>
      <c r="M51" s="163">
        <f t="shared" si="2"/>
        <v>0</v>
      </c>
      <c r="N51" s="163">
        <f t="shared" si="2"/>
        <v>0</v>
      </c>
      <c r="O51" s="164">
        <f t="shared" si="2"/>
        <v>0</v>
      </c>
      <c r="P51" s="3"/>
    </row>
    <row r="52" spans="1:16" ht="15" customHeight="1">
      <c r="A52" s="277">
        <v>9</v>
      </c>
      <c r="B52" s="278" t="str">
        <f t="shared" si="3"/>
        <v>停工损失</v>
      </c>
      <c r="C52" s="71"/>
      <c r="D52" s="273">
        <f t="shared" si="1"/>
        <v>0</v>
      </c>
      <c r="E52" s="279">
        <f t="shared" si="2"/>
        <v>0</v>
      </c>
      <c r="F52" s="279">
        <f t="shared" si="2"/>
        <v>0</v>
      </c>
      <c r="G52" s="279">
        <f t="shared" si="2"/>
        <v>0</v>
      </c>
      <c r="H52" s="279">
        <f t="shared" si="2"/>
        <v>0</v>
      </c>
      <c r="I52" s="279">
        <f t="shared" si="2"/>
        <v>0</v>
      </c>
      <c r="J52" s="279">
        <f t="shared" si="2"/>
        <v>0</v>
      </c>
      <c r="K52" s="279">
        <f t="shared" si="2"/>
        <v>0</v>
      </c>
      <c r="L52" s="279">
        <f t="shared" si="2"/>
        <v>0</v>
      </c>
      <c r="M52" s="279">
        <f t="shared" si="2"/>
        <v>0</v>
      </c>
      <c r="N52" s="279">
        <f t="shared" si="2"/>
        <v>0</v>
      </c>
      <c r="O52" s="299">
        <f t="shared" si="2"/>
        <v>0</v>
      </c>
      <c r="P52" s="3"/>
    </row>
    <row r="53" spans="1:16" ht="14.25">
      <c r="A53" s="277">
        <v>10</v>
      </c>
      <c r="B53" s="278" t="str">
        <f t="shared" si="3"/>
        <v>其他</v>
      </c>
      <c r="C53" s="71"/>
      <c r="D53" s="162">
        <f t="shared" si="1"/>
        <v>0</v>
      </c>
      <c r="E53" s="163">
        <f t="shared" si="2"/>
        <v>0</v>
      </c>
      <c r="F53" s="163">
        <f t="shared" si="2"/>
        <v>0</v>
      </c>
      <c r="G53" s="163">
        <f t="shared" si="2"/>
        <v>0</v>
      </c>
      <c r="H53" s="163">
        <f t="shared" si="2"/>
        <v>0</v>
      </c>
      <c r="I53" s="163">
        <f t="shared" si="2"/>
        <v>0</v>
      </c>
      <c r="J53" s="163">
        <f t="shared" si="2"/>
        <v>0</v>
      </c>
      <c r="K53" s="163">
        <f t="shared" si="2"/>
        <v>0</v>
      </c>
      <c r="L53" s="163">
        <f t="shared" si="2"/>
        <v>0</v>
      </c>
      <c r="M53" s="163">
        <f t="shared" si="2"/>
        <v>0</v>
      </c>
      <c r="N53" s="163">
        <f t="shared" si="2"/>
        <v>0</v>
      </c>
      <c r="O53" s="164">
        <f t="shared" si="2"/>
        <v>0</v>
      </c>
      <c r="P53" s="3"/>
    </row>
    <row r="54" spans="1:16" ht="15">
      <c r="A54" s="277">
        <v>11</v>
      </c>
      <c r="B54" s="278"/>
      <c r="C54" s="54"/>
      <c r="D54" s="162">
        <f t="shared" si="1"/>
        <v>0</v>
      </c>
      <c r="E54" s="163">
        <f t="shared" si="2"/>
        <v>0</v>
      </c>
      <c r="F54" s="163">
        <f t="shared" si="2"/>
        <v>0</v>
      </c>
      <c r="G54" s="163">
        <f t="shared" si="2"/>
        <v>0</v>
      </c>
      <c r="H54" s="163">
        <f t="shared" si="2"/>
        <v>0</v>
      </c>
      <c r="I54" s="163">
        <f t="shared" si="2"/>
        <v>0</v>
      </c>
      <c r="J54" s="163">
        <f t="shared" si="2"/>
        <v>0</v>
      </c>
      <c r="K54" s="163">
        <f t="shared" si="2"/>
        <v>0</v>
      </c>
      <c r="L54" s="163">
        <f t="shared" si="2"/>
        <v>0</v>
      </c>
      <c r="M54" s="163">
        <f t="shared" si="2"/>
        <v>0</v>
      </c>
      <c r="N54" s="163">
        <f t="shared" si="2"/>
        <v>0</v>
      </c>
      <c r="O54" s="164">
        <f t="shared" si="2"/>
        <v>0</v>
      </c>
      <c r="P54" s="3"/>
    </row>
    <row r="55" spans="1:16" ht="15" hidden="1">
      <c r="A55" s="277">
        <v>12</v>
      </c>
      <c r="B55" s="278"/>
      <c r="C55" s="54"/>
      <c r="D55" s="162">
        <f t="shared" si="1"/>
        <v>0</v>
      </c>
      <c r="E55" s="163">
        <f t="shared" si="2"/>
        <v>0</v>
      </c>
      <c r="F55" s="163">
        <f t="shared" si="2"/>
        <v>0</v>
      </c>
      <c r="G55" s="163">
        <f t="shared" si="2"/>
        <v>0</v>
      </c>
      <c r="H55" s="163">
        <f t="shared" si="2"/>
        <v>0</v>
      </c>
      <c r="I55" s="163">
        <f t="shared" si="2"/>
        <v>0</v>
      </c>
      <c r="J55" s="163">
        <f t="shared" si="2"/>
        <v>0</v>
      </c>
      <c r="K55" s="163">
        <f t="shared" si="2"/>
        <v>0</v>
      </c>
      <c r="L55" s="163">
        <f t="shared" si="2"/>
        <v>0</v>
      </c>
      <c r="M55" s="163">
        <f t="shared" si="2"/>
        <v>0</v>
      </c>
      <c r="N55" s="163">
        <f t="shared" si="2"/>
        <v>0</v>
      </c>
      <c r="O55" s="164">
        <f t="shared" si="2"/>
        <v>0</v>
      </c>
      <c r="P55" s="3"/>
    </row>
    <row r="56" spans="1:16" ht="15" hidden="1">
      <c r="A56" s="277">
        <v>13</v>
      </c>
      <c r="B56" s="278"/>
      <c r="C56" s="54"/>
      <c r="D56" s="162">
        <f t="shared" si="1"/>
        <v>0</v>
      </c>
      <c r="E56" s="163">
        <f t="shared" si="2"/>
        <v>0</v>
      </c>
      <c r="F56" s="163">
        <f t="shared" si="2"/>
        <v>0</v>
      </c>
      <c r="G56" s="163">
        <f t="shared" si="2"/>
        <v>0</v>
      </c>
      <c r="H56" s="163">
        <f t="shared" si="2"/>
        <v>0</v>
      </c>
      <c r="I56" s="163">
        <f t="shared" si="2"/>
        <v>0</v>
      </c>
      <c r="J56" s="163">
        <f t="shared" si="2"/>
        <v>0</v>
      </c>
      <c r="K56" s="163">
        <f t="shared" si="2"/>
        <v>0</v>
      </c>
      <c r="L56" s="163">
        <f t="shared" si="2"/>
        <v>0</v>
      </c>
      <c r="M56" s="163">
        <f t="shared" si="2"/>
        <v>0</v>
      </c>
      <c r="N56" s="163">
        <f t="shared" si="2"/>
        <v>0</v>
      </c>
      <c r="O56" s="164">
        <f t="shared" si="2"/>
        <v>0</v>
      </c>
      <c r="P56" s="3"/>
    </row>
    <row r="57" spans="1:16" ht="15" hidden="1">
      <c r="A57" s="277">
        <v>14</v>
      </c>
      <c r="B57" s="278"/>
      <c r="C57" s="54"/>
      <c r="D57" s="162">
        <f t="shared" si="1"/>
        <v>0</v>
      </c>
      <c r="E57" s="163">
        <f t="shared" si="2"/>
        <v>0</v>
      </c>
      <c r="F57" s="163">
        <f t="shared" si="2"/>
        <v>0</v>
      </c>
      <c r="G57" s="163">
        <f t="shared" si="2"/>
        <v>0</v>
      </c>
      <c r="H57" s="163">
        <f t="shared" si="2"/>
        <v>0</v>
      </c>
      <c r="I57" s="163">
        <f t="shared" si="2"/>
        <v>0</v>
      </c>
      <c r="J57" s="163">
        <f t="shared" si="2"/>
        <v>0</v>
      </c>
      <c r="K57" s="163">
        <f t="shared" si="2"/>
        <v>0</v>
      </c>
      <c r="L57" s="163">
        <f t="shared" si="2"/>
        <v>0</v>
      </c>
      <c r="M57" s="163">
        <f t="shared" si="2"/>
        <v>0</v>
      </c>
      <c r="N57" s="163">
        <f t="shared" si="2"/>
        <v>0</v>
      </c>
      <c r="O57" s="164">
        <f t="shared" si="2"/>
        <v>0</v>
      </c>
      <c r="P57" s="3"/>
    </row>
    <row r="58" spans="1:16" ht="15" hidden="1">
      <c r="A58" s="277">
        <v>15</v>
      </c>
      <c r="B58" s="278"/>
      <c r="C58" s="54"/>
      <c r="D58" s="162">
        <f t="shared" si="1"/>
        <v>0</v>
      </c>
      <c r="E58" s="157">
        <f t="shared" si="2"/>
        <v>0</v>
      </c>
      <c r="F58" s="157">
        <f t="shared" si="2"/>
        <v>0</v>
      </c>
      <c r="G58" s="157">
        <f t="shared" si="2"/>
        <v>0</v>
      </c>
      <c r="H58" s="157">
        <f t="shared" si="2"/>
        <v>0</v>
      </c>
      <c r="I58" s="157">
        <f t="shared" si="2"/>
        <v>0</v>
      </c>
      <c r="J58" s="157">
        <f t="shared" si="2"/>
        <v>0</v>
      </c>
      <c r="K58" s="157">
        <f t="shared" si="2"/>
        <v>0</v>
      </c>
      <c r="L58" s="157">
        <f t="shared" si="2"/>
        <v>0</v>
      </c>
      <c r="M58" s="157">
        <f t="shared" si="2"/>
        <v>0</v>
      </c>
      <c r="N58" s="157">
        <f t="shared" si="2"/>
        <v>0</v>
      </c>
      <c r="O58" s="158">
        <f t="shared" si="2"/>
        <v>0</v>
      </c>
      <c r="P58" s="3"/>
    </row>
    <row r="59" spans="1:16" ht="15" hidden="1">
      <c r="A59" s="277">
        <v>16</v>
      </c>
      <c r="B59" s="278"/>
      <c r="C59" s="54"/>
      <c r="D59" s="300">
        <f t="shared" si="1"/>
        <v>0</v>
      </c>
      <c r="E59" s="301">
        <f t="shared" si="2"/>
        <v>0</v>
      </c>
      <c r="F59" s="301">
        <f t="shared" si="2"/>
        <v>0</v>
      </c>
      <c r="G59" s="301">
        <f t="shared" si="2"/>
        <v>0</v>
      </c>
      <c r="H59" s="301">
        <f t="shared" si="2"/>
        <v>0</v>
      </c>
      <c r="I59" s="301">
        <f t="shared" si="2"/>
        <v>0</v>
      </c>
      <c r="J59" s="301">
        <f t="shared" si="2"/>
        <v>0</v>
      </c>
      <c r="K59" s="301">
        <f t="shared" si="2"/>
        <v>0</v>
      </c>
      <c r="L59" s="301">
        <f t="shared" si="2"/>
        <v>0</v>
      </c>
      <c r="M59" s="301">
        <f t="shared" si="2"/>
        <v>0</v>
      </c>
      <c r="N59" s="301">
        <f t="shared" si="2"/>
        <v>0</v>
      </c>
      <c r="O59" s="302">
        <f t="shared" si="2"/>
        <v>0</v>
      </c>
      <c r="P59" s="3"/>
    </row>
    <row r="60" spans="1:16" ht="15" hidden="1">
      <c r="A60" s="277">
        <v>17</v>
      </c>
      <c r="B60" s="278"/>
      <c r="C60" s="54"/>
      <c r="D60" s="300">
        <f t="shared" si="1"/>
        <v>0</v>
      </c>
      <c r="E60" s="301">
        <f aca="true" t="shared" si="4" ref="E60:O71">D60+E26</f>
        <v>0</v>
      </c>
      <c r="F60" s="301">
        <f t="shared" si="4"/>
        <v>0</v>
      </c>
      <c r="G60" s="301">
        <f t="shared" si="4"/>
        <v>0</v>
      </c>
      <c r="H60" s="301">
        <f t="shared" si="4"/>
        <v>0</v>
      </c>
      <c r="I60" s="301">
        <f t="shared" si="4"/>
        <v>0</v>
      </c>
      <c r="J60" s="301">
        <f t="shared" si="4"/>
        <v>0</v>
      </c>
      <c r="K60" s="301">
        <f t="shared" si="4"/>
        <v>0</v>
      </c>
      <c r="L60" s="301">
        <f t="shared" si="4"/>
        <v>0</v>
      </c>
      <c r="M60" s="301">
        <f t="shared" si="4"/>
        <v>0</v>
      </c>
      <c r="N60" s="301">
        <f t="shared" si="4"/>
        <v>0</v>
      </c>
      <c r="O60" s="302">
        <f t="shared" si="4"/>
        <v>0</v>
      </c>
      <c r="P60" s="3"/>
    </row>
    <row r="61" spans="1:16" ht="15" hidden="1">
      <c r="A61" s="277">
        <v>18</v>
      </c>
      <c r="B61" s="278"/>
      <c r="C61" s="54"/>
      <c r="D61" s="300">
        <f t="shared" si="1"/>
        <v>0</v>
      </c>
      <c r="E61" s="301">
        <f t="shared" si="4"/>
        <v>0</v>
      </c>
      <c r="F61" s="301">
        <f t="shared" si="4"/>
        <v>0</v>
      </c>
      <c r="G61" s="301">
        <f t="shared" si="4"/>
        <v>0</v>
      </c>
      <c r="H61" s="301">
        <f t="shared" si="4"/>
        <v>0</v>
      </c>
      <c r="I61" s="301">
        <f t="shared" si="4"/>
        <v>0</v>
      </c>
      <c r="J61" s="301">
        <f t="shared" si="4"/>
        <v>0</v>
      </c>
      <c r="K61" s="301">
        <f t="shared" si="4"/>
        <v>0</v>
      </c>
      <c r="L61" s="301">
        <f t="shared" si="4"/>
        <v>0</v>
      </c>
      <c r="M61" s="301">
        <f t="shared" si="4"/>
        <v>0</v>
      </c>
      <c r="N61" s="301">
        <f t="shared" si="4"/>
        <v>0</v>
      </c>
      <c r="O61" s="302">
        <f t="shared" si="4"/>
        <v>0</v>
      </c>
      <c r="P61" s="3"/>
    </row>
    <row r="62" spans="1:16" ht="14.25" hidden="1">
      <c r="A62" s="277">
        <v>19</v>
      </c>
      <c r="B62" s="278"/>
      <c r="C62" s="71"/>
      <c r="D62" s="303">
        <f t="shared" si="1"/>
        <v>0</v>
      </c>
      <c r="E62" s="301">
        <f t="shared" si="4"/>
        <v>0</v>
      </c>
      <c r="F62" s="301">
        <f t="shared" si="4"/>
        <v>0</v>
      </c>
      <c r="G62" s="301">
        <f t="shared" si="4"/>
        <v>0</v>
      </c>
      <c r="H62" s="301">
        <f t="shared" si="4"/>
        <v>0</v>
      </c>
      <c r="I62" s="301">
        <f t="shared" si="4"/>
        <v>0</v>
      </c>
      <c r="J62" s="301">
        <f t="shared" si="4"/>
        <v>0</v>
      </c>
      <c r="K62" s="301">
        <f t="shared" si="4"/>
        <v>0</v>
      </c>
      <c r="L62" s="301">
        <f t="shared" si="4"/>
        <v>0</v>
      </c>
      <c r="M62" s="301">
        <f t="shared" si="4"/>
        <v>0</v>
      </c>
      <c r="N62" s="301">
        <f t="shared" si="4"/>
        <v>0</v>
      </c>
      <c r="O62" s="302">
        <f t="shared" si="4"/>
        <v>0</v>
      </c>
      <c r="P62" s="3"/>
    </row>
    <row r="63" spans="1:16" ht="14.25" hidden="1">
      <c r="A63" s="277">
        <v>20</v>
      </c>
      <c r="B63" s="278"/>
      <c r="C63" s="71"/>
      <c r="D63" s="169">
        <f t="shared" si="1"/>
        <v>0</v>
      </c>
      <c r="E63" s="157">
        <f t="shared" si="4"/>
        <v>0</v>
      </c>
      <c r="F63" s="157">
        <f t="shared" si="4"/>
        <v>0</v>
      </c>
      <c r="G63" s="157">
        <f t="shared" si="4"/>
        <v>0</v>
      </c>
      <c r="H63" s="157">
        <f t="shared" si="4"/>
        <v>0</v>
      </c>
      <c r="I63" s="157">
        <f t="shared" si="4"/>
        <v>0</v>
      </c>
      <c r="J63" s="157">
        <f t="shared" si="4"/>
        <v>0</v>
      </c>
      <c r="K63" s="157">
        <f t="shared" si="4"/>
        <v>0</v>
      </c>
      <c r="L63" s="157">
        <f t="shared" si="4"/>
        <v>0</v>
      </c>
      <c r="M63" s="157">
        <f t="shared" si="4"/>
        <v>0</v>
      </c>
      <c r="N63" s="157">
        <f t="shared" si="4"/>
        <v>0</v>
      </c>
      <c r="O63" s="158">
        <f t="shared" si="4"/>
        <v>0</v>
      </c>
      <c r="P63" s="3"/>
    </row>
    <row r="64" spans="1:16" ht="14.25" hidden="1">
      <c r="A64" s="277">
        <v>21</v>
      </c>
      <c r="B64" s="278"/>
      <c r="C64" s="71"/>
      <c r="D64" s="169">
        <f t="shared" si="1"/>
        <v>0</v>
      </c>
      <c r="E64" s="157">
        <f t="shared" si="4"/>
        <v>0</v>
      </c>
      <c r="F64" s="157">
        <f t="shared" si="4"/>
        <v>0</v>
      </c>
      <c r="G64" s="157">
        <f t="shared" si="4"/>
        <v>0</v>
      </c>
      <c r="H64" s="157">
        <f t="shared" si="4"/>
        <v>0</v>
      </c>
      <c r="I64" s="157">
        <f t="shared" si="4"/>
        <v>0</v>
      </c>
      <c r="J64" s="157">
        <f t="shared" si="4"/>
        <v>0</v>
      </c>
      <c r="K64" s="157">
        <f t="shared" si="4"/>
        <v>0</v>
      </c>
      <c r="L64" s="157">
        <f t="shared" si="4"/>
        <v>0</v>
      </c>
      <c r="M64" s="157">
        <f t="shared" si="4"/>
        <v>0</v>
      </c>
      <c r="N64" s="157">
        <f t="shared" si="4"/>
        <v>0</v>
      </c>
      <c r="O64" s="158">
        <f t="shared" si="4"/>
        <v>0</v>
      </c>
      <c r="P64" s="3"/>
    </row>
    <row r="65" spans="1:16" ht="14.25" hidden="1">
      <c r="A65" s="277">
        <v>22</v>
      </c>
      <c r="B65" s="278"/>
      <c r="C65" s="71"/>
      <c r="D65" s="304">
        <f t="shared" si="1"/>
        <v>0</v>
      </c>
      <c r="E65" s="305">
        <f t="shared" si="4"/>
        <v>0</v>
      </c>
      <c r="F65" s="305">
        <f t="shared" si="4"/>
        <v>0</v>
      </c>
      <c r="G65" s="305">
        <f t="shared" si="4"/>
        <v>0</v>
      </c>
      <c r="H65" s="305">
        <f t="shared" si="4"/>
        <v>0</v>
      </c>
      <c r="I65" s="305">
        <f t="shared" si="4"/>
        <v>0</v>
      </c>
      <c r="J65" s="305">
        <f t="shared" si="4"/>
        <v>0</v>
      </c>
      <c r="K65" s="305">
        <f t="shared" si="4"/>
        <v>0</v>
      </c>
      <c r="L65" s="305">
        <f t="shared" si="4"/>
        <v>0</v>
      </c>
      <c r="M65" s="305">
        <f t="shared" si="4"/>
        <v>0</v>
      </c>
      <c r="N65" s="305">
        <f t="shared" si="4"/>
        <v>0</v>
      </c>
      <c r="O65" s="306">
        <f t="shared" si="4"/>
        <v>0</v>
      </c>
      <c r="P65" s="3"/>
    </row>
    <row r="66" spans="1:16" ht="14.25" hidden="1">
      <c r="A66" s="277">
        <v>23</v>
      </c>
      <c r="B66" s="278"/>
      <c r="C66" s="71"/>
      <c r="D66" s="169">
        <f t="shared" si="1"/>
        <v>0</v>
      </c>
      <c r="E66" s="307">
        <f t="shared" si="4"/>
        <v>0</v>
      </c>
      <c r="F66" s="307">
        <f t="shared" si="4"/>
        <v>0</v>
      </c>
      <c r="G66" s="307">
        <f t="shared" si="4"/>
        <v>0</v>
      </c>
      <c r="H66" s="307">
        <f t="shared" si="4"/>
        <v>0</v>
      </c>
      <c r="I66" s="307">
        <f t="shared" si="4"/>
        <v>0</v>
      </c>
      <c r="J66" s="307">
        <f t="shared" si="4"/>
        <v>0</v>
      </c>
      <c r="K66" s="307">
        <f t="shared" si="4"/>
        <v>0</v>
      </c>
      <c r="L66" s="307">
        <f t="shared" si="4"/>
        <v>0</v>
      </c>
      <c r="M66" s="307">
        <f t="shared" si="4"/>
        <v>0</v>
      </c>
      <c r="N66" s="307">
        <f t="shared" si="4"/>
        <v>0</v>
      </c>
      <c r="O66" s="308">
        <f t="shared" si="4"/>
        <v>0</v>
      </c>
      <c r="P66" s="3"/>
    </row>
    <row r="67" spans="1:16" ht="15" hidden="1">
      <c r="A67" s="277">
        <v>24</v>
      </c>
      <c r="B67" s="278"/>
      <c r="C67" s="54"/>
      <c r="D67" s="169">
        <f t="shared" si="1"/>
        <v>0</v>
      </c>
      <c r="E67" s="157">
        <f t="shared" si="4"/>
        <v>0</v>
      </c>
      <c r="F67" s="157">
        <f t="shared" si="4"/>
        <v>0</v>
      </c>
      <c r="G67" s="157">
        <f t="shared" si="4"/>
        <v>0</v>
      </c>
      <c r="H67" s="157">
        <f t="shared" si="4"/>
        <v>0</v>
      </c>
      <c r="I67" s="157">
        <f t="shared" si="4"/>
        <v>0</v>
      </c>
      <c r="J67" s="157">
        <f t="shared" si="4"/>
        <v>0</v>
      </c>
      <c r="K67" s="157">
        <f t="shared" si="4"/>
        <v>0</v>
      </c>
      <c r="L67" s="157">
        <f t="shared" si="4"/>
        <v>0</v>
      </c>
      <c r="M67" s="157">
        <f t="shared" si="4"/>
        <v>0</v>
      </c>
      <c r="N67" s="157">
        <f t="shared" si="4"/>
        <v>0</v>
      </c>
      <c r="O67" s="158">
        <f t="shared" si="4"/>
        <v>0</v>
      </c>
      <c r="P67" s="3"/>
    </row>
    <row r="68" spans="1:16" ht="14.25" hidden="1">
      <c r="A68" s="282">
        <v>25</v>
      </c>
      <c r="B68" s="283"/>
      <c r="C68" s="71"/>
      <c r="D68" s="169">
        <f t="shared" si="1"/>
        <v>0</v>
      </c>
      <c r="E68" s="307">
        <f t="shared" si="4"/>
        <v>0</v>
      </c>
      <c r="F68" s="307">
        <f t="shared" si="4"/>
        <v>0</v>
      </c>
      <c r="G68" s="307">
        <f t="shared" si="4"/>
        <v>0</v>
      </c>
      <c r="H68" s="307">
        <f t="shared" si="4"/>
        <v>0</v>
      </c>
      <c r="I68" s="307">
        <f t="shared" si="4"/>
        <v>0</v>
      </c>
      <c r="J68" s="307">
        <f t="shared" si="4"/>
        <v>0</v>
      </c>
      <c r="K68" s="307">
        <f t="shared" si="4"/>
        <v>0</v>
      </c>
      <c r="L68" s="307">
        <f t="shared" si="4"/>
        <v>0</v>
      </c>
      <c r="M68" s="307">
        <f t="shared" si="4"/>
        <v>0</v>
      </c>
      <c r="N68" s="307">
        <f t="shared" si="4"/>
        <v>0</v>
      </c>
      <c r="O68" s="308">
        <f t="shared" si="4"/>
        <v>0</v>
      </c>
      <c r="P68" s="3"/>
    </row>
    <row r="69" spans="1:16" ht="15" hidden="1">
      <c r="A69" s="282">
        <v>26</v>
      </c>
      <c r="B69" s="283"/>
      <c r="C69" s="54"/>
      <c r="D69" s="169">
        <f t="shared" si="1"/>
        <v>0</v>
      </c>
      <c r="E69" s="157">
        <f t="shared" si="4"/>
        <v>0</v>
      </c>
      <c r="F69" s="157">
        <f t="shared" si="4"/>
        <v>0</v>
      </c>
      <c r="G69" s="157">
        <f t="shared" si="4"/>
        <v>0</v>
      </c>
      <c r="H69" s="157">
        <f t="shared" si="4"/>
        <v>0</v>
      </c>
      <c r="I69" s="157">
        <f t="shared" si="4"/>
        <v>0</v>
      </c>
      <c r="J69" s="157">
        <f t="shared" si="4"/>
        <v>0</v>
      </c>
      <c r="K69" s="157">
        <f t="shared" si="4"/>
        <v>0</v>
      </c>
      <c r="L69" s="157">
        <f t="shared" si="4"/>
        <v>0</v>
      </c>
      <c r="M69" s="157">
        <f t="shared" si="4"/>
        <v>0</v>
      </c>
      <c r="N69" s="157">
        <f t="shared" si="4"/>
        <v>0</v>
      </c>
      <c r="O69" s="158">
        <f t="shared" si="4"/>
        <v>0</v>
      </c>
      <c r="P69" s="3"/>
    </row>
    <row r="70" spans="1:16" ht="14.25" hidden="1">
      <c r="A70" s="282">
        <v>27</v>
      </c>
      <c r="B70" s="283"/>
      <c r="C70" s="71"/>
      <c r="D70" s="169">
        <f t="shared" si="1"/>
        <v>0</v>
      </c>
      <c r="E70" s="157">
        <f t="shared" si="4"/>
        <v>0</v>
      </c>
      <c r="F70" s="157">
        <f t="shared" si="4"/>
        <v>0</v>
      </c>
      <c r="G70" s="157">
        <f t="shared" si="4"/>
        <v>0</v>
      </c>
      <c r="H70" s="157">
        <f t="shared" si="4"/>
        <v>0</v>
      </c>
      <c r="I70" s="157">
        <f t="shared" si="4"/>
        <v>0</v>
      </c>
      <c r="J70" s="157">
        <f t="shared" si="4"/>
        <v>0</v>
      </c>
      <c r="K70" s="157">
        <f t="shared" si="4"/>
        <v>0</v>
      </c>
      <c r="L70" s="157">
        <f t="shared" si="4"/>
        <v>0</v>
      </c>
      <c r="M70" s="157">
        <f t="shared" si="4"/>
        <v>0</v>
      </c>
      <c r="N70" s="157">
        <f t="shared" si="4"/>
        <v>0</v>
      </c>
      <c r="O70" s="158">
        <f t="shared" si="4"/>
        <v>0</v>
      </c>
      <c r="P70" s="3"/>
    </row>
    <row r="71" spans="1:16" ht="14.25" hidden="1">
      <c r="A71" s="282">
        <v>28</v>
      </c>
      <c r="B71" s="283"/>
      <c r="C71" s="71"/>
      <c r="D71" s="169">
        <f t="shared" si="1"/>
        <v>0</v>
      </c>
      <c r="E71" s="157">
        <f t="shared" si="4"/>
        <v>0</v>
      </c>
      <c r="F71" s="157">
        <f t="shared" si="4"/>
        <v>0</v>
      </c>
      <c r="G71" s="157">
        <f t="shared" si="4"/>
        <v>0</v>
      </c>
      <c r="H71" s="157">
        <f t="shared" si="4"/>
        <v>0</v>
      </c>
      <c r="I71" s="157">
        <f t="shared" si="4"/>
        <v>0</v>
      </c>
      <c r="J71" s="157">
        <f t="shared" si="4"/>
        <v>0</v>
      </c>
      <c r="K71" s="157">
        <f t="shared" si="4"/>
        <v>0</v>
      </c>
      <c r="L71" s="157">
        <f t="shared" si="4"/>
        <v>0</v>
      </c>
      <c r="M71" s="157">
        <f t="shared" si="4"/>
        <v>0</v>
      </c>
      <c r="N71" s="157">
        <f t="shared" si="4"/>
        <v>0</v>
      </c>
      <c r="O71" s="158">
        <f t="shared" si="4"/>
        <v>0</v>
      </c>
      <c r="P71" s="3"/>
    </row>
    <row r="72" spans="1:16" ht="15.75" thickBot="1">
      <c r="A72" s="284">
        <v>29</v>
      </c>
      <c r="B72" s="285" t="s">
        <v>994</v>
      </c>
      <c r="C72" s="286"/>
      <c r="D72" s="309">
        <f>SUM(D44:D71)</f>
        <v>500</v>
      </c>
      <c r="E72" s="310">
        <f>SUM(E44:E71)</f>
        <v>500</v>
      </c>
      <c r="F72" s="310">
        <f aca="true" t="shared" si="5" ref="F72:O72">SUM(F44:F71)</f>
        <v>500</v>
      </c>
      <c r="G72" s="310">
        <f t="shared" si="5"/>
        <v>500</v>
      </c>
      <c r="H72" s="310">
        <f t="shared" si="5"/>
        <v>500</v>
      </c>
      <c r="I72" s="310">
        <f t="shared" si="5"/>
        <v>500</v>
      </c>
      <c r="J72" s="310">
        <f t="shared" si="5"/>
        <v>500</v>
      </c>
      <c r="K72" s="310">
        <f t="shared" si="5"/>
        <v>500</v>
      </c>
      <c r="L72" s="310">
        <f t="shared" si="5"/>
        <v>500</v>
      </c>
      <c r="M72" s="310">
        <f t="shared" si="5"/>
        <v>500</v>
      </c>
      <c r="N72" s="310">
        <f t="shared" si="5"/>
        <v>500</v>
      </c>
      <c r="O72" s="311">
        <f t="shared" si="5"/>
        <v>500</v>
      </c>
      <c r="P72" s="3"/>
    </row>
    <row r="73" spans="1:3" ht="16.5" thickBot="1" thickTop="1">
      <c r="A73" s="797" t="s">
        <v>435</v>
      </c>
      <c r="B73" s="798"/>
      <c r="C73" s="799"/>
    </row>
    <row r="74" spans="1:16" ht="15" thickTop="1">
      <c r="A74" s="973" t="s">
        <v>989</v>
      </c>
      <c r="B74" s="975" t="s">
        <v>990</v>
      </c>
      <c r="C74" s="978"/>
      <c r="D74" s="290" t="s">
        <v>996</v>
      </c>
      <c r="E74" s="160" t="s">
        <v>997</v>
      </c>
      <c r="F74" s="291" t="s">
        <v>998</v>
      </c>
      <c r="G74" s="160" t="s">
        <v>999</v>
      </c>
      <c r="H74" s="160" t="s">
        <v>1000</v>
      </c>
      <c r="I74" s="160" t="s">
        <v>1001</v>
      </c>
      <c r="J74" s="160" t="s">
        <v>1002</v>
      </c>
      <c r="K74" s="160" t="s">
        <v>1003</v>
      </c>
      <c r="L74" s="160" t="s">
        <v>1004</v>
      </c>
      <c r="M74" s="160" t="s">
        <v>1005</v>
      </c>
      <c r="N74" s="160" t="s">
        <v>1006</v>
      </c>
      <c r="O74" s="292" t="s">
        <v>1007</v>
      </c>
      <c r="P74" s="3"/>
    </row>
    <row r="75" spans="1:16" ht="15" thickBot="1">
      <c r="A75" s="974"/>
      <c r="B75" s="976"/>
      <c r="C75" s="979"/>
      <c r="D75" s="259" t="s">
        <v>763</v>
      </c>
      <c r="E75" s="260" t="s">
        <v>764</v>
      </c>
      <c r="F75" s="261" t="s">
        <v>765</v>
      </c>
      <c r="G75" s="260" t="s">
        <v>766</v>
      </c>
      <c r="H75" s="260" t="s">
        <v>767</v>
      </c>
      <c r="I75" s="260" t="s">
        <v>768</v>
      </c>
      <c r="J75" s="260" t="s">
        <v>769</v>
      </c>
      <c r="K75" s="260" t="s">
        <v>770</v>
      </c>
      <c r="L75" s="260" t="s">
        <v>771</v>
      </c>
      <c r="M75" s="260" t="s">
        <v>772</v>
      </c>
      <c r="N75" s="260" t="s">
        <v>773</v>
      </c>
      <c r="O75" s="262" t="s">
        <v>774</v>
      </c>
      <c r="P75" s="3"/>
    </row>
    <row r="76" spans="1:16" ht="15.75">
      <c r="A76" s="981" t="s">
        <v>991</v>
      </c>
      <c r="B76" s="976"/>
      <c r="C76" s="979"/>
      <c r="D76" s="690" t="s">
        <v>387</v>
      </c>
      <c r="E76" s="691" t="s">
        <v>387</v>
      </c>
      <c r="F76" s="691" t="s">
        <v>387</v>
      </c>
      <c r="G76" s="691" t="s">
        <v>387</v>
      </c>
      <c r="H76" s="691" t="s">
        <v>387</v>
      </c>
      <c r="I76" s="691" t="s">
        <v>387</v>
      </c>
      <c r="J76" s="691" t="s">
        <v>387</v>
      </c>
      <c r="K76" s="691" t="s">
        <v>387</v>
      </c>
      <c r="L76" s="691" t="s">
        <v>387</v>
      </c>
      <c r="M76" s="691" t="s">
        <v>387</v>
      </c>
      <c r="N76" s="691" t="s">
        <v>387</v>
      </c>
      <c r="O76" s="692" t="s">
        <v>387</v>
      </c>
      <c r="P76" s="3"/>
    </row>
    <row r="77" spans="1:16" ht="15" thickBot="1">
      <c r="A77" s="982"/>
      <c r="B77" s="977"/>
      <c r="C77" s="980"/>
      <c r="D77" s="293" t="s">
        <v>987</v>
      </c>
      <c r="E77" s="294" t="s">
        <v>987</v>
      </c>
      <c r="F77" s="294" t="s">
        <v>987</v>
      </c>
      <c r="G77" s="294" t="s">
        <v>987</v>
      </c>
      <c r="H77" s="294" t="s">
        <v>987</v>
      </c>
      <c r="I77" s="294" t="s">
        <v>987</v>
      </c>
      <c r="J77" s="294" t="s">
        <v>987</v>
      </c>
      <c r="K77" s="294" t="s">
        <v>987</v>
      </c>
      <c r="L77" s="294" t="s">
        <v>987</v>
      </c>
      <c r="M77" s="294" t="s">
        <v>987</v>
      </c>
      <c r="N77" s="294" t="s">
        <v>987</v>
      </c>
      <c r="O77" s="295" t="s">
        <v>987</v>
      </c>
      <c r="P77" s="3"/>
    </row>
    <row r="78" spans="1:16" ht="15" thickTop="1">
      <c r="A78" s="270">
        <v>1</v>
      </c>
      <c r="B78" s="271" t="str">
        <f>B44</f>
        <v>工资</v>
      </c>
      <c r="C78" s="272"/>
      <c r="D78" s="296"/>
      <c r="E78" s="297"/>
      <c r="F78" s="297"/>
      <c r="G78" s="297"/>
      <c r="H78" s="297"/>
      <c r="I78" s="297"/>
      <c r="J78" s="297"/>
      <c r="K78" s="297"/>
      <c r="L78" s="297"/>
      <c r="M78" s="297"/>
      <c r="N78" s="297"/>
      <c r="O78" s="298"/>
      <c r="P78" s="3"/>
    </row>
    <row r="79" spans="1:16" ht="14.25">
      <c r="A79" s="277">
        <v>2</v>
      </c>
      <c r="B79" s="278" t="str">
        <f>B45</f>
        <v>福利费</v>
      </c>
      <c r="C79" s="71"/>
      <c r="D79" s="169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8"/>
      <c r="P79" s="3"/>
    </row>
    <row r="80" spans="1:16" ht="15">
      <c r="A80" s="277">
        <v>3</v>
      </c>
      <c r="B80" s="278" t="str">
        <f aca="true" t="shared" si="6" ref="B80:B87">B46</f>
        <v>折旧费</v>
      </c>
      <c r="C80" s="54"/>
      <c r="D80" s="296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8"/>
      <c r="P80" s="3"/>
    </row>
    <row r="81" spans="1:16" ht="15">
      <c r="A81" s="277">
        <v>4</v>
      </c>
      <c r="B81" s="278" t="str">
        <f t="shared" si="6"/>
        <v>修理费</v>
      </c>
      <c r="C81" s="54"/>
      <c r="D81" s="169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8"/>
      <c r="P81" s="3"/>
    </row>
    <row r="82" spans="1:16" ht="15">
      <c r="A82" s="277">
        <v>5</v>
      </c>
      <c r="B82" s="278" t="str">
        <f t="shared" si="6"/>
        <v>办公费</v>
      </c>
      <c r="C82" s="54"/>
      <c r="D82" s="296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8"/>
      <c r="P82" s="3"/>
    </row>
    <row r="83" spans="1:16" ht="15">
      <c r="A83" s="277">
        <v>6</v>
      </c>
      <c r="B83" s="278" t="str">
        <f t="shared" si="6"/>
        <v>水电费</v>
      </c>
      <c r="C83" s="54"/>
      <c r="D83" s="16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8"/>
      <c r="P83" s="3"/>
    </row>
    <row r="84" spans="1:16" ht="15">
      <c r="A84" s="277">
        <v>7</v>
      </c>
      <c r="B84" s="278" t="str">
        <f t="shared" si="6"/>
        <v>机物料消耗</v>
      </c>
      <c r="C84" s="54"/>
      <c r="D84" s="296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8"/>
      <c r="P84" s="3"/>
    </row>
    <row r="85" spans="1:16" ht="15">
      <c r="A85" s="277">
        <v>8</v>
      </c>
      <c r="B85" s="278" t="str">
        <f t="shared" si="6"/>
        <v>劳动保护费</v>
      </c>
      <c r="C85" s="54"/>
      <c r="D85" s="169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4"/>
      <c r="P85" s="3"/>
    </row>
    <row r="86" spans="1:16" ht="15" customHeight="1">
      <c r="A86" s="277">
        <v>9</v>
      </c>
      <c r="B86" s="278" t="str">
        <f t="shared" si="6"/>
        <v>停工损失</v>
      </c>
      <c r="C86" s="71"/>
      <c r="D86" s="296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99"/>
      <c r="P86" s="3"/>
    </row>
    <row r="87" spans="1:16" ht="14.25">
      <c r="A87" s="277">
        <v>10</v>
      </c>
      <c r="B87" s="278" t="str">
        <f t="shared" si="6"/>
        <v>其他</v>
      </c>
      <c r="C87" s="71"/>
      <c r="D87" s="169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4"/>
      <c r="P87" s="3"/>
    </row>
    <row r="88" spans="1:16" ht="15">
      <c r="A88" s="277">
        <v>11</v>
      </c>
      <c r="B88" s="278"/>
      <c r="C88" s="54"/>
      <c r="D88" s="162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4"/>
      <c r="P88" s="3"/>
    </row>
    <row r="89" spans="1:16" ht="15" hidden="1">
      <c r="A89" s="277">
        <v>12</v>
      </c>
      <c r="B89" s="278"/>
      <c r="C89" s="54"/>
      <c r="D89" s="162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4"/>
      <c r="P89" s="3"/>
    </row>
    <row r="90" spans="1:16" ht="15" hidden="1">
      <c r="A90" s="277">
        <v>13</v>
      </c>
      <c r="B90" s="278"/>
      <c r="C90" s="54"/>
      <c r="D90" s="162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4"/>
      <c r="P90" s="3"/>
    </row>
    <row r="91" spans="1:16" ht="15" hidden="1">
      <c r="A91" s="277">
        <v>14</v>
      </c>
      <c r="B91" s="278"/>
      <c r="C91" s="54"/>
      <c r="D91" s="162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4"/>
      <c r="P91" s="3"/>
    </row>
    <row r="92" spans="1:16" ht="15" hidden="1">
      <c r="A92" s="277">
        <v>15</v>
      </c>
      <c r="B92" s="278"/>
      <c r="C92" s="54"/>
      <c r="D92" s="162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8"/>
      <c r="P92" s="3"/>
    </row>
    <row r="93" spans="1:16" ht="15" hidden="1">
      <c r="A93" s="277">
        <v>16</v>
      </c>
      <c r="B93" s="278"/>
      <c r="C93" s="54"/>
      <c r="D93" s="300"/>
      <c r="E93" s="301"/>
      <c r="F93" s="301"/>
      <c r="G93" s="301"/>
      <c r="H93" s="301"/>
      <c r="I93" s="301"/>
      <c r="J93" s="301"/>
      <c r="K93" s="301"/>
      <c r="L93" s="301"/>
      <c r="M93" s="301"/>
      <c r="N93" s="301"/>
      <c r="O93" s="302"/>
      <c r="P93" s="3"/>
    </row>
    <row r="94" spans="1:16" ht="15" hidden="1">
      <c r="A94" s="277">
        <v>17</v>
      </c>
      <c r="B94" s="278"/>
      <c r="C94" s="54"/>
      <c r="D94" s="300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2"/>
      <c r="P94" s="3"/>
    </row>
    <row r="95" spans="1:16" ht="15" hidden="1">
      <c r="A95" s="277">
        <v>18</v>
      </c>
      <c r="B95" s="278"/>
      <c r="C95" s="54"/>
      <c r="D95" s="300"/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2"/>
      <c r="P95" s="3"/>
    </row>
    <row r="96" spans="1:16" ht="14.25" hidden="1">
      <c r="A96" s="277">
        <v>19</v>
      </c>
      <c r="B96" s="278"/>
      <c r="C96" s="71"/>
      <c r="D96" s="303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2"/>
      <c r="P96" s="3"/>
    </row>
    <row r="97" spans="1:16" ht="14.25" hidden="1">
      <c r="A97" s="277">
        <v>20</v>
      </c>
      <c r="B97" s="278"/>
      <c r="C97" s="71"/>
      <c r="D97" s="169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8"/>
      <c r="P97" s="3"/>
    </row>
    <row r="98" spans="1:16" ht="14.25" hidden="1">
      <c r="A98" s="277">
        <v>21</v>
      </c>
      <c r="B98" s="278"/>
      <c r="C98" s="71"/>
      <c r="D98" s="169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8"/>
      <c r="P98" s="3"/>
    </row>
    <row r="99" spans="1:16" ht="14.25" hidden="1">
      <c r="A99" s="277">
        <v>22</v>
      </c>
      <c r="B99" s="278"/>
      <c r="C99" s="71"/>
      <c r="D99" s="304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6"/>
      <c r="P99" s="3"/>
    </row>
    <row r="100" spans="1:16" ht="14.25" hidden="1">
      <c r="A100" s="277">
        <v>23</v>
      </c>
      <c r="B100" s="278"/>
      <c r="C100" s="71"/>
      <c r="D100" s="169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8"/>
      <c r="P100" s="3"/>
    </row>
    <row r="101" spans="1:16" ht="15" hidden="1">
      <c r="A101" s="277">
        <v>24</v>
      </c>
      <c r="B101" s="278"/>
      <c r="C101" s="54"/>
      <c r="D101" s="169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8"/>
      <c r="P101" s="3"/>
    </row>
    <row r="102" spans="1:16" ht="14.25" hidden="1">
      <c r="A102" s="282">
        <v>25</v>
      </c>
      <c r="B102" s="283"/>
      <c r="C102" s="71"/>
      <c r="D102" s="169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8"/>
      <c r="P102" s="3"/>
    </row>
    <row r="103" spans="1:16" ht="15" hidden="1">
      <c r="A103" s="282">
        <v>26</v>
      </c>
      <c r="B103" s="283"/>
      <c r="C103" s="54"/>
      <c r="D103" s="169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8"/>
      <c r="P103" s="3"/>
    </row>
    <row r="104" spans="1:16" ht="14.25" hidden="1">
      <c r="A104" s="282">
        <v>27</v>
      </c>
      <c r="B104" s="283"/>
      <c r="C104" s="71"/>
      <c r="D104" s="169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8"/>
      <c r="P104" s="3"/>
    </row>
    <row r="105" spans="1:16" ht="14.25" hidden="1">
      <c r="A105" s="282">
        <v>28</v>
      </c>
      <c r="B105" s="283"/>
      <c r="C105" s="71"/>
      <c r="D105" s="169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8"/>
      <c r="P105" s="3"/>
    </row>
    <row r="106" spans="1:16" ht="15.75" thickBot="1">
      <c r="A106" s="284">
        <v>29</v>
      </c>
      <c r="B106" s="285" t="s">
        <v>994</v>
      </c>
      <c r="C106" s="286"/>
      <c r="D106" s="309">
        <f aca="true" t="shared" si="7" ref="D106:O106">SUM(D78:D105)</f>
        <v>0</v>
      </c>
      <c r="E106" s="310">
        <f t="shared" si="7"/>
        <v>0</v>
      </c>
      <c r="F106" s="310">
        <f t="shared" si="7"/>
        <v>0</v>
      </c>
      <c r="G106" s="310">
        <f t="shared" si="7"/>
        <v>0</v>
      </c>
      <c r="H106" s="310">
        <f t="shared" si="7"/>
        <v>0</v>
      </c>
      <c r="I106" s="310">
        <f t="shared" si="7"/>
        <v>0</v>
      </c>
      <c r="J106" s="310">
        <f t="shared" si="7"/>
        <v>0</v>
      </c>
      <c r="K106" s="310">
        <f t="shared" si="7"/>
        <v>0</v>
      </c>
      <c r="L106" s="310">
        <f t="shared" si="7"/>
        <v>0</v>
      </c>
      <c r="M106" s="310">
        <f t="shared" si="7"/>
        <v>0</v>
      </c>
      <c r="N106" s="310">
        <f t="shared" si="7"/>
        <v>0</v>
      </c>
      <c r="O106" s="311">
        <f t="shared" si="7"/>
        <v>0</v>
      </c>
      <c r="P106" s="3"/>
    </row>
    <row r="107" ht="15" thickTop="1"/>
  </sheetData>
  <mergeCells count="12">
    <mergeCell ref="A8:A9"/>
    <mergeCell ref="A6:A7"/>
    <mergeCell ref="B6:B9"/>
    <mergeCell ref="C6:C9"/>
    <mergeCell ref="A40:A41"/>
    <mergeCell ref="B40:B43"/>
    <mergeCell ref="C40:C43"/>
    <mergeCell ref="A42:A43"/>
    <mergeCell ref="A74:A75"/>
    <mergeCell ref="B74:B77"/>
    <mergeCell ref="C74:C77"/>
    <mergeCell ref="A76:A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表格下载网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凭证录入</dc:title>
  <dc:subject/>
  <dc:creator>www.biaogexiazai.com</dc:creator>
  <cp:keywords/>
  <dc:description/>
  <cp:lastModifiedBy>MS User</cp:lastModifiedBy>
  <cp:lastPrinted>2006-04-05T01:32:25Z</cp:lastPrinted>
  <dcterms:created xsi:type="dcterms:W3CDTF">2004-07-27T00:27:09Z</dcterms:created>
  <dcterms:modified xsi:type="dcterms:W3CDTF">2006-04-18T05:37:13Z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